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90C0E9BF-FAB9-4C0F-96EC-E294B463AA29}" xr6:coauthVersionLast="47" xr6:coauthVersionMax="47" xr10:uidLastSave="{00000000-0000-0000-0000-000000000000}"/>
  <bookViews>
    <workbookView xWindow="28680" yWindow="-120" windowWidth="29040" windowHeight="15840" tabRatio="840" xr2:uid="{A484D59A-4E3F-4C1E-8AF0-B5049C57CAA2}"/>
  </bookViews>
  <sheets>
    <sheet name="단가산출 (2)" sheetId="16" r:id="rId1"/>
    <sheet name="기계경비총괄표" sheetId="10" r:id="rId2"/>
    <sheet name="기계경비" sheetId="11" r:id="rId3"/>
    <sheet name="기계경비적용기준" sheetId="12" r:id="rId4"/>
    <sheet name="견적단가" sheetId="13" r:id="rId5"/>
    <sheet name="자재단가" sheetId="14" r:id="rId6"/>
    <sheet name="노임단가" sheetId="15" r:id="rId7"/>
  </sheets>
  <definedNames>
    <definedName name="_xlnm.Print_Area" localSheetId="4">견적단가!$B$1:$J$45</definedName>
    <definedName name="_xlnm.Print_Area" localSheetId="2">기계경비!$B$1:$AD$407</definedName>
    <definedName name="_xlnm.Print_Area" localSheetId="1">기계경비총괄표!$B$1:$I$82</definedName>
    <definedName name="_xlnm.Print_Area" localSheetId="6">노임단가!$B$1:$G$34</definedName>
    <definedName name="_xlnm.Print_Area" localSheetId="0">'단가산출 (2)'!$B$2:$DA$73</definedName>
    <definedName name="_xlnm.Print_Area" localSheetId="5">자재단가!$B$2:$S$173</definedName>
    <definedName name="_xlnm.Print_Titles" localSheetId="4">견적단가!$1:$3</definedName>
    <definedName name="_xlnm.Print_Titles" localSheetId="2">기계경비!$1:$3</definedName>
    <definedName name="_xlnm.Print_Titles" localSheetId="1">기계경비총괄표!$1:$3</definedName>
    <definedName name="_xlnm.Print_Titles" localSheetId="6">노임단가!$1:$3</definedName>
    <definedName name="_xlnm.Print_Titles" localSheetId="0">'단가산출 (2)'!$1:$3</definedName>
    <definedName name="_xlnm.Print_Titles" localSheetId="5">자재단가!$1:$4</definedName>
  </definedNames>
  <calcPr calcId="191029" fullCalcOnLoad="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64" i="16" l="1"/>
  <c r="AN64" i="16"/>
  <c r="R64" i="16"/>
  <c r="AP63" i="16"/>
  <c r="AN63" i="16"/>
  <c r="R63" i="16"/>
  <c r="AP62" i="16"/>
  <c r="AN62" i="16"/>
  <c r="R62" i="16"/>
  <c r="K60" i="16"/>
  <c r="Z58" i="16"/>
  <c r="AW54" i="16"/>
  <c r="AK54" i="16"/>
  <c r="X54" i="16"/>
  <c r="L54" i="16"/>
  <c r="S56" i="16"/>
  <c r="AN52" i="16"/>
  <c r="AL52" i="16"/>
  <c r="Z52" i="16"/>
  <c r="K52" i="16"/>
  <c r="R47" i="16"/>
  <c r="R46" i="16"/>
  <c r="R45" i="16"/>
  <c r="K43" i="16"/>
  <c r="AZ37" i="16"/>
  <c r="AM37" i="16"/>
  <c r="Y37" i="16"/>
  <c r="L37" i="16"/>
  <c r="AO35" i="16"/>
  <c r="Y33" i="16"/>
  <c r="BK27" i="16"/>
  <c r="AX27" i="16"/>
  <c r="AC27" i="16"/>
  <c r="K27" i="16"/>
  <c r="AT25" i="16"/>
  <c r="R25" i="16"/>
  <c r="AT24" i="16"/>
  <c r="R24" i="16"/>
  <c r="AW22" i="16"/>
  <c r="U22" i="16"/>
  <c r="R16" i="16"/>
  <c r="R15" i="16"/>
  <c r="R14" i="16"/>
  <c r="K12" i="16"/>
  <c r="AA10" i="16"/>
  <c r="L10" i="16"/>
  <c r="BO8" i="16"/>
  <c r="AC8" i="16"/>
  <c r="Y8" i="16"/>
  <c r="L8" i="16"/>
  <c r="AC4" i="11"/>
  <c r="I4" i="10"/>
  <c r="AC5" i="11"/>
  <c r="Z5" i="11"/>
  <c r="I8" i="11"/>
  <c r="AA8" i="11"/>
  <c r="AC10" i="11"/>
  <c r="AC11" i="11"/>
  <c r="Z11" i="11"/>
  <c r="I14" i="11"/>
  <c r="AA14" i="11"/>
  <c r="AC17" i="11"/>
  <c r="Z17" i="11"/>
  <c r="AC16" i="11"/>
  <c r="I6" i="10"/>
  <c r="I20" i="11"/>
  <c r="AA20" i="11"/>
  <c r="Z20" i="11"/>
  <c r="AA22" i="11"/>
  <c r="AC23" i="11"/>
  <c r="I26" i="11"/>
  <c r="AA26" i="11"/>
  <c r="Z26" i="11"/>
  <c r="AC28" i="11"/>
  <c r="AC29" i="11"/>
  <c r="Z29" i="11"/>
  <c r="I32" i="11"/>
  <c r="AA32" i="11"/>
  <c r="AC35" i="11"/>
  <c r="I38" i="11"/>
  <c r="AA38" i="11"/>
  <c r="AC41" i="11"/>
  <c r="I44" i="11"/>
  <c r="AA44" i="11"/>
  <c r="AC47" i="11"/>
  <c r="AC48" i="11"/>
  <c r="Z48" i="11"/>
  <c r="I51" i="11"/>
  <c r="AA51" i="11"/>
  <c r="Z51" i="11"/>
  <c r="AC54" i="11"/>
  <c r="AC53" i="11"/>
  <c r="I12" i="10"/>
  <c r="AC55" i="11"/>
  <c r="Z55" i="11"/>
  <c r="I58" i="11"/>
  <c r="AA58" i="11"/>
  <c r="Z58" i="11"/>
  <c r="AC61" i="11"/>
  <c r="I64" i="11"/>
  <c r="AA64" i="11"/>
  <c r="AC67" i="11"/>
  <c r="I70" i="11"/>
  <c r="AA70" i="11"/>
  <c r="Z70" i="11"/>
  <c r="AA66" i="11"/>
  <c r="G14" i="10"/>
  <c r="AC73" i="11"/>
  <c r="I76" i="11"/>
  <c r="AA76" i="11"/>
  <c r="AC78" i="11"/>
  <c r="I16" i="10"/>
  <c r="Z79" i="11"/>
  <c r="AC79" i="11"/>
  <c r="I82" i="11"/>
  <c r="AA82" i="11"/>
  <c r="AC85" i="11"/>
  <c r="AC84" i="11"/>
  <c r="I17" i="10"/>
  <c r="Z85" i="11"/>
  <c r="AC86" i="11"/>
  <c r="Z86" i="11"/>
  <c r="I89" i="11"/>
  <c r="AA89" i="11"/>
  <c r="AA84" i="11"/>
  <c r="G17" i="10"/>
  <c r="Z89" i="11"/>
  <c r="AC92" i="11"/>
  <c r="AC93" i="11"/>
  <c r="Z93" i="11"/>
  <c r="I96" i="11"/>
  <c r="AA96" i="11"/>
  <c r="AC99" i="11"/>
  <c r="Z99" i="11"/>
  <c r="I102" i="11"/>
  <c r="AA102" i="11"/>
  <c r="AA98" i="11"/>
  <c r="AC104" i="11"/>
  <c r="I20" i="10"/>
  <c r="AC105" i="11"/>
  <c r="Z105" i="11"/>
  <c r="I108" i="11"/>
  <c r="AA108" i="11"/>
  <c r="AC111" i="11"/>
  <c r="AC110" i="11"/>
  <c r="I21" i="10"/>
  <c r="Z111" i="11"/>
  <c r="I114" i="11"/>
  <c r="AA114" i="11"/>
  <c r="AC117" i="11"/>
  <c r="I120" i="11"/>
  <c r="AA120" i="11"/>
  <c r="AC123" i="11"/>
  <c r="I126" i="11"/>
  <c r="AA126" i="11"/>
  <c r="Z126" i="11"/>
  <c r="AC128" i="11"/>
  <c r="Z129" i="11"/>
  <c r="AC129" i="11"/>
  <c r="I132" i="11"/>
  <c r="AA132" i="11"/>
  <c r="AC135" i="11"/>
  <c r="AC134" i="11"/>
  <c r="I25" i="10"/>
  <c r="I138" i="11"/>
  <c r="AA138" i="11"/>
  <c r="AC141" i="11"/>
  <c r="I144" i="11"/>
  <c r="AA144" i="11"/>
  <c r="AA146" i="11"/>
  <c r="G27" i="10"/>
  <c r="AC147" i="11"/>
  <c r="AC146" i="11"/>
  <c r="I27" i="10"/>
  <c r="Z147" i="11"/>
  <c r="I150" i="11"/>
  <c r="AA150" i="11"/>
  <c r="Z150" i="11"/>
  <c r="AC152" i="11"/>
  <c r="Z153" i="11"/>
  <c r="AC153" i="11"/>
  <c r="I156" i="11"/>
  <c r="AA156" i="11"/>
  <c r="AC159" i="11"/>
  <c r="Z159" i="11"/>
  <c r="I162" i="11"/>
  <c r="AA162" i="11"/>
  <c r="Z162" i="11"/>
  <c r="AC165" i="11"/>
  <c r="Z165" i="11"/>
  <c r="AC164" i="11"/>
  <c r="I30" i="10"/>
  <c r="I168" i="11"/>
  <c r="AA168" i="11"/>
  <c r="AC171" i="11"/>
  <c r="I174" i="11"/>
  <c r="AA174" i="11"/>
  <c r="AC177" i="11"/>
  <c r="I180" i="11"/>
  <c r="AA180" i="11"/>
  <c r="AC183" i="11"/>
  <c r="I186" i="11"/>
  <c r="AA186" i="11"/>
  <c r="AC189" i="11"/>
  <c r="I192" i="11"/>
  <c r="AA192" i="11"/>
  <c r="Z192" i="11"/>
  <c r="AC195" i="11"/>
  <c r="Z195" i="11"/>
  <c r="I198" i="11"/>
  <c r="AA198" i="11"/>
  <c r="Z198" i="11"/>
  <c r="AC201" i="11"/>
  <c r="I204" i="11"/>
  <c r="AA204" i="11"/>
  <c r="AC207" i="11"/>
  <c r="I210" i="11"/>
  <c r="AA210" i="11"/>
  <c r="Z210" i="11"/>
  <c r="AC213" i="11"/>
  <c r="AC212" i="11"/>
  <c r="I38" i="10"/>
  <c r="I216" i="11"/>
  <c r="AA216" i="11"/>
  <c r="AC218" i="11"/>
  <c r="I39" i="10"/>
  <c r="AC219" i="11"/>
  <c r="Z219" i="11"/>
  <c r="I222" i="11"/>
  <c r="AA222" i="11"/>
  <c r="AC225" i="11"/>
  <c r="AC224" i="11"/>
  <c r="I40" i="10"/>
  <c r="I228" i="11"/>
  <c r="AA228" i="11"/>
  <c r="AC231" i="11"/>
  <c r="AC230" i="11"/>
  <c r="I41" i="10"/>
  <c r="I234" i="11"/>
  <c r="AA234" i="11"/>
  <c r="Z234" i="11"/>
  <c r="AC237" i="11"/>
  <c r="I240" i="11"/>
  <c r="AA240" i="11"/>
  <c r="Z240" i="11"/>
  <c r="AB242" i="11"/>
  <c r="H43" i="10"/>
  <c r="AC243" i="11"/>
  <c r="AC242" i="11"/>
  <c r="I43" i="10"/>
  <c r="Z243" i="11"/>
  <c r="I244" i="11"/>
  <c r="AA244" i="11"/>
  <c r="AA242" i="11"/>
  <c r="G43" i="10"/>
  <c r="Z244" i="11"/>
  <c r="AC247" i="11"/>
  <c r="AC248" i="11"/>
  <c r="Z248" i="11"/>
  <c r="I251" i="11"/>
  <c r="AA251" i="11"/>
  <c r="Z251" i="11"/>
  <c r="AC254" i="11"/>
  <c r="I257" i="11"/>
  <c r="AA257" i="11"/>
  <c r="AA259" i="11"/>
  <c r="AB259" i="11"/>
  <c r="H46" i="10"/>
  <c r="AC260" i="11"/>
  <c r="AA262" i="11"/>
  <c r="AB262" i="11"/>
  <c r="AC262" i="11"/>
  <c r="AC263" i="11"/>
  <c r="Z263" i="11"/>
  <c r="AA265" i="11"/>
  <c r="AB265" i="11"/>
  <c r="H48" i="10"/>
  <c r="AC266" i="11"/>
  <c r="AA268" i="11"/>
  <c r="AB268" i="11"/>
  <c r="H49" i="10"/>
  <c r="Z269" i="11"/>
  <c r="AC269" i="11"/>
  <c r="AC268" i="11"/>
  <c r="AA271" i="11"/>
  <c r="AB271" i="11"/>
  <c r="AC272" i="11"/>
  <c r="AA274" i="11"/>
  <c r="AB274" i="11"/>
  <c r="AC275" i="11"/>
  <c r="AA277" i="11"/>
  <c r="AB277" i="11"/>
  <c r="AC278" i="11"/>
  <c r="AA280" i="11"/>
  <c r="AB280" i="11"/>
  <c r="AC281" i="11"/>
  <c r="AC280" i="11"/>
  <c r="I53" i="10"/>
  <c r="AA283" i="11"/>
  <c r="AB283" i="11"/>
  <c r="H54" i="10"/>
  <c r="AC284" i="11"/>
  <c r="AC287" i="11"/>
  <c r="I290" i="11"/>
  <c r="AA290" i="11"/>
  <c r="AC293" i="11"/>
  <c r="I296" i="11"/>
  <c r="AA296" i="11"/>
  <c r="AC299" i="11"/>
  <c r="I302" i="11"/>
  <c r="AA302" i="11"/>
  <c r="AC305" i="11"/>
  <c r="AC304" i="11"/>
  <c r="I58" i="10"/>
  <c r="Z305" i="11"/>
  <c r="I308" i="11"/>
  <c r="AA308" i="11"/>
  <c r="AA310" i="11"/>
  <c r="Z311" i="11"/>
  <c r="AC311" i="11"/>
  <c r="AC310" i="11"/>
  <c r="I59" i="10"/>
  <c r="AC316" i="11"/>
  <c r="I319" i="11"/>
  <c r="AA319" i="11"/>
  <c r="Z322" i="11"/>
  <c r="AC322" i="11"/>
  <c r="AC321" i="11"/>
  <c r="I61" i="10"/>
  <c r="I325" i="11"/>
  <c r="AA325" i="11"/>
  <c r="AA327" i="11"/>
  <c r="AC328" i="11"/>
  <c r="I331" i="11"/>
  <c r="AA331" i="11"/>
  <c r="Z331" i="11"/>
  <c r="AA333" i="11"/>
  <c r="G63" i="10"/>
  <c r="AC334" i="11"/>
  <c r="AC333" i="11"/>
  <c r="I63" i="10"/>
  <c r="Z334" i="11"/>
  <c r="I337" i="11"/>
  <c r="Z337" i="11"/>
  <c r="AA337" i="11"/>
  <c r="AC339" i="11"/>
  <c r="I64" i="10"/>
  <c r="Z340" i="11"/>
  <c r="AC340" i="11"/>
  <c r="I343" i="11"/>
  <c r="AA343" i="11"/>
  <c r="AC346" i="11"/>
  <c r="I349" i="11"/>
  <c r="AA349" i="11"/>
  <c r="AC352" i="11"/>
  <c r="AC351" i="11"/>
  <c r="I355" i="11"/>
  <c r="AA355" i="11"/>
  <c r="AA357" i="11"/>
  <c r="AB357" i="11"/>
  <c r="H67" i="10"/>
  <c r="AC358" i="11"/>
  <c r="AA360" i="11"/>
  <c r="AB360" i="11"/>
  <c r="AC360" i="11"/>
  <c r="I68" i="10"/>
  <c r="AC361" i="11"/>
  <c r="Z361" i="11"/>
  <c r="AA363" i="11"/>
  <c r="AB363" i="11"/>
  <c r="H69" i="10"/>
  <c r="AC364" i="11"/>
  <c r="AA366" i="11"/>
  <c r="AC367" i="11"/>
  <c r="AC366" i="11"/>
  <c r="I70" i="10"/>
  <c r="AA371" i="11"/>
  <c r="Z372" i="11"/>
  <c r="AC372" i="11"/>
  <c r="AC371" i="11"/>
  <c r="I71" i="10"/>
  <c r="AA376" i="11"/>
  <c r="AB376" i="11"/>
  <c r="AC377" i="11"/>
  <c r="AA379" i="11"/>
  <c r="AB379" i="11"/>
  <c r="AC380" i="11"/>
  <c r="AA382" i="11"/>
  <c r="G74" i="10"/>
  <c r="AB382" i="11"/>
  <c r="AC382" i="11"/>
  <c r="I74" i="10"/>
  <c r="F74" i="10"/>
  <c r="Z383" i="11"/>
  <c r="AC383" i="11"/>
  <c r="AA385" i="11"/>
  <c r="G75" i="10"/>
  <c r="AB385" i="11"/>
  <c r="H75" i="10"/>
  <c r="AC386" i="11"/>
  <c r="AC385" i="11"/>
  <c r="I75" i="10"/>
  <c r="Z386" i="11"/>
  <c r="AA388" i="11"/>
  <c r="AB388" i="11"/>
  <c r="H76" i="10"/>
  <c r="AC389" i="11"/>
  <c r="AC388" i="11"/>
  <c r="I76" i="10"/>
  <c r="F76" i="10"/>
  <c r="Z389" i="11"/>
  <c r="AA391" i="11"/>
  <c r="AB391" i="11"/>
  <c r="AC392" i="11"/>
  <c r="AA394" i="11"/>
  <c r="G78" i="10"/>
  <c r="AB394" i="11"/>
  <c r="AC395" i="11"/>
  <c r="AA397" i="11"/>
  <c r="AB397" i="11"/>
  <c r="H79" i="10"/>
  <c r="AC397" i="11"/>
  <c r="I79" i="10"/>
  <c r="AC398" i="11"/>
  <c r="Z398" i="11"/>
  <c r="AA400" i="11"/>
  <c r="AB400" i="11"/>
  <c r="AC401" i="11"/>
  <c r="Z401" i="11"/>
  <c r="AA403" i="11"/>
  <c r="AB403" i="11"/>
  <c r="AC404" i="11"/>
  <c r="AA406" i="11"/>
  <c r="AB406" i="11"/>
  <c r="AC407" i="11"/>
  <c r="E23" i="12"/>
  <c r="E25" i="12"/>
  <c r="I5" i="10"/>
  <c r="I8" i="10"/>
  <c r="I24" i="10"/>
  <c r="I28" i="10"/>
  <c r="G46" i="10"/>
  <c r="G47" i="10"/>
  <c r="H47" i="10"/>
  <c r="G48" i="10"/>
  <c r="G49" i="10"/>
  <c r="H50" i="10"/>
  <c r="H51" i="10"/>
  <c r="G52" i="10"/>
  <c r="H52" i="10"/>
  <c r="G53" i="10"/>
  <c r="H53" i="10"/>
  <c r="G54" i="10"/>
  <c r="G59" i="10"/>
  <c r="I66" i="10"/>
  <c r="G67" i="10"/>
  <c r="H68" i="10"/>
  <c r="G71" i="10"/>
  <c r="G72" i="10"/>
  <c r="H72" i="10"/>
  <c r="G73" i="10"/>
  <c r="H73" i="10"/>
  <c r="H74" i="10"/>
  <c r="G76" i="10"/>
  <c r="G77" i="10"/>
  <c r="H77" i="10"/>
  <c r="H78" i="10"/>
  <c r="G79" i="10"/>
  <c r="F79" i="10"/>
  <c r="H80" i="10"/>
  <c r="G81" i="10"/>
  <c r="H81" i="10"/>
  <c r="H82" i="10"/>
  <c r="R5" i="14"/>
  <c r="R6" i="14"/>
  <c r="R7" i="14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53" i="14"/>
  <c r="R54" i="14"/>
  <c r="R55" i="14"/>
  <c r="R56" i="14"/>
  <c r="R57" i="14"/>
  <c r="R58" i="14"/>
  <c r="R59" i="14"/>
  <c r="R60" i="14"/>
  <c r="R61" i="14"/>
  <c r="R62" i="14"/>
  <c r="R63" i="14"/>
  <c r="R64" i="14"/>
  <c r="R65" i="14"/>
  <c r="R66" i="14"/>
  <c r="R67" i="14"/>
  <c r="R68" i="14"/>
  <c r="R69" i="14"/>
  <c r="R70" i="14"/>
  <c r="R71" i="14"/>
  <c r="R72" i="14"/>
  <c r="R73" i="14"/>
  <c r="R74" i="14"/>
  <c r="R75" i="14"/>
  <c r="R76" i="14"/>
  <c r="R77" i="14"/>
  <c r="R78" i="14"/>
  <c r="R79" i="14"/>
  <c r="R80" i="14"/>
  <c r="R81" i="14"/>
  <c r="R82" i="14"/>
  <c r="R83" i="14"/>
  <c r="R84" i="14"/>
  <c r="R85" i="14"/>
  <c r="R86" i="14"/>
  <c r="R87" i="14"/>
  <c r="R88" i="14"/>
  <c r="R89" i="14"/>
  <c r="R90" i="14"/>
  <c r="R91" i="14"/>
  <c r="R92" i="14"/>
  <c r="R93" i="14"/>
  <c r="R94" i="14"/>
  <c r="R95" i="14"/>
  <c r="R96" i="14"/>
  <c r="R97" i="14"/>
  <c r="R98" i="14"/>
  <c r="R99" i="14"/>
  <c r="R100" i="14"/>
  <c r="R101" i="14"/>
  <c r="R102" i="14"/>
  <c r="R103" i="14"/>
  <c r="R104" i="14"/>
  <c r="R105" i="14"/>
  <c r="R106" i="14"/>
  <c r="R107" i="14"/>
  <c r="R108" i="14"/>
  <c r="R109" i="14"/>
  <c r="R110" i="14"/>
  <c r="R111" i="14"/>
  <c r="R112" i="14"/>
  <c r="R113" i="14"/>
  <c r="R114" i="14"/>
  <c r="R115" i="14"/>
  <c r="R116" i="14"/>
  <c r="R117" i="14"/>
  <c r="R118" i="14"/>
  <c r="R119" i="14"/>
  <c r="R120" i="14"/>
  <c r="R121" i="14"/>
  <c r="R122" i="14"/>
  <c r="R123" i="14"/>
  <c r="R124" i="14"/>
  <c r="R125" i="14"/>
  <c r="R126" i="14"/>
  <c r="R127" i="14"/>
  <c r="R128" i="14"/>
  <c r="R129" i="14"/>
  <c r="R130" i="14"/>
  <c r="R131" i="14"/>
  <c r="R132" i="14"/>
  <c r="R133" i="14"/>
  <c r="R134" i="14"/>
  <c r="R135" i="14"/>
  <c r="R136" i="14"/>
  <c r="R137" i="14"/>
  <c r="R138" i="14"/>
  <c r="R139" i="14"/>
  <c r="R140" i="14"/>
  <c r="R141" i="14"/>
  <c r="R142" i="14"/>
  <c r="R143" i="14"/>
  <c r="R144" i="14"/>
  <c r="R145" i="14"/>
  <c r="R146" i="14"/>
  <c r="R147" i="14"/>
  <c r="R148" i="14"/>
  <c r="R149" i="14"/>
  <c r="R150" i="14"/>
  <c r="R151" i="14"/>
  <c r="R152" i="14"/>
  <c r="R153" i="14"/>
  <c r="R154" i="14"/>
  <c r="R155" i="14"/>
  <c r="R156" i="14"/>
  <c r="R157" i="14"/>
  <c r="R158" i="14"/>
  <c r="R159" i="14"/>
  <c r="R160" i="14"/>
  <c r="R161" i="14"/>
  <c r="R162" i="14"/>
  <c r="R163" i="14"/>
  <c r="R164" i="14"/>
  <c r="R165" i="14"/>
  <c r="R166" i="14"/>
  <c r="R167" i="14"/>
  <c r="R168" i="14"/>
  <c r="R169" i="14"/>
  <c r="R170" i="14"/>
  <c r="R171" i="14"/>
  <c r="R172" i="14"/>
  <c r="R173" i="14"/>
  <c r="J208" i="11"/>
  <c r="AB208" i="11"/>
  <c r="J124" i="11"/>
  <c r="AB124" i="11"/>
  <c r="J130" i="11"/>
  <c r="AB130" i="11"/>
  <c r="J214" i="11"/>
  <c r="AB214" i="11"/>
  <c r="K8" i="12"/>
  <c r="J312" i="11"/>
  <c r="AB312" i="11"/>
  <c r="J202" i="11"/>
  <c r="AB202" i="11"/>
  <c r="J18" i="11"/>
  <c r="AB18" i="11"/>
  <c r="J42" i="11"/>
  <c r="AB42" i="11"/>
  <c r="J68" i="11"/>
  <c r="AB68" i="11"/>
  <c r="J12" i="11"/>
  <c r="AB12" i="11"/>
  <c r="J36" i="11"/>
  <c r="AB36" i="11"/>
  <c r="J49" i="11"/>
  <c r="AB49" i="11"/>
  <c r="J62" i="11"/>
  <c r="AB62" i="11"/>
  <c r="J112" i="11"/>
  <c r="AB112" i="11"/>
  <c r="J136" i="11"/>
  <c r="AB136" i="11"/>
  <c r="J160" i="11"/>
  <c r="AB160" i="11"/>
  <c r="J24" i="11"/>
  <c r="AB24" i="11"/>
  <c r="J80" i="11"/>
  <c r="AB80" i="11"/>
  <c r="J94" i="11"/>
  <c r="AB94" i="11"/>
  <c r="J106" i="11"/>
  <c r="AB106" i="11"/>
  <c r="J184" i="11"/>
  <c r="AB184" i="11"/>
  <c r="J30" i="11"/>
  <c r="AB30" i="11"/>
  <c r="J142" i="11"/>
  <c r="AB142" i="11"/>
  <c r="J166" i="11"/>
  <c r="AB166" i="11"/>
  <c r="J178" i="11"/>
  <c r="AB178" i="11"/>
  <c r="J232" i="11"/>
  <c r="AB232" i="11"/>
  <c r="J255" i="11"/>
  <c r="AB255" i="11"/>
  <c r="J294" i="11"/>
  <c r="AB294" i="11"/>
  <c r="J323" i="11"/>
  <c r="AB323" i="11"/>
  <c r="J347" i="11"/>
  <c r="AB347" i="11"/>
  <c r="J368" i="11"/>
  <c r="AB368" i="11"/>
  <c r="J373" i="11"/>
  <c r="AB373" i="11"/>
  <c r="K7" i="12"/>
  <c r="J56" i="11"/>
  <c r="AB56" i="11"/>
  <c r="J74" i="11"/>
  <c r="AB74" i="11"/>
  <c r="J148" i="11"/>
  <c r="AB148" i="11"/>
  <c r="J154" i="11"/>
  <c r="AB154" i="11"/>
  <c r="J220" i="11"/>
  <c r="AB220" i="11"/>
  <c r="J249" i="11"/>
  <c r="AB249" i="11"/>
  <c r="J288" i="11"/>
  <c r="AB288" i="11"/>
  <c r="J118" i="11"/>
  <c r="AB118" i="11"/>
  <c r="J196" i="11"/>
  <c r="AB196" i="11"/>
  <c r="J238" i="11"/>
  <c r="AB238" i="11"/>
  <c r="J226" i="11"/>
  <c r="AB226" i="11"/>
  <c r="J172" i="11"/>
  <c r="AB172" i="11"/>
  <c r="J353" i="11"/>
  <c r="AB353" i="11"/>
  <c r="J100" i="11"/>
  <c r="AB100" i="11"/>
  <c r="J306" i="11"/>
  <c r="AB306" i="11"/>
  <c r="J329" i="11"/>
  <c r="AB329" i="11"/>
  <c r="J317" i="11"/>
  <c r="AB317" i="11"/>
  <c r="J335" i="11"/>
  <c r="AB335" i="11"/>
  <c r="J6" i="11"/>
  <c r="AB6" i="11"/>
  <c r="J300" i="11"/>
  <c r="AB300" i="11"/>
  <c r="J87" i="11"/>
  <c r="AB87" i="11"/>
  <c r="J341" i="11"/>
  <c r="AB341" i="11"/>
  <c r="J190" i="11"/>
  <c r="AB190" i="11"/>
  <c r="G82" i="10"/>
  <c r="AA339" i="11"/>
  <c r="Z343" i="11"/>
  <c r="Z346" i="11"/>
  <c r="AC345" i="11"/>
  <c r="I65" i="10"/>
  <c r="G62" i="10"/>
  <c r="AA253" i="11"/>
  <c r="Z257" i="11"/>
  <c r="Z171" i="11"/>
  <c r="AC170" i="11"/>
  <c r="I31" i="10"/>
  <c r="AC259" i="11"/>
  <c r="I46" i="10"/>
  <c r="Z260" i="11"/>
  <c r="AC253" i="11"/>
  <c r="I45" i="10"/>
  <c r="Z254" i="11"/>
  <c r="AA176" i="11"/>
  <c r="Z180" i="11"/>
  <c r="AA304" i="11"/>
  <c r="Z308" i="11"/>
  <c r="AA212" i="11"/>
  <c r="Z216" i="11"/>
  <c r="G69" i="10"/>
  <c r="Z360" i="11"/>
  <c r="G68" i="10"/>
  <c r="Z392" i="11"/>
  <c r="AC391" i="11"/>
  <c r="Z391" i="11"/>
  <c r="I77" i="10"/>
  <c r="Z377" i="11"/>
  <c r="AC376" i="11"/>
  <c r="I72" i="10"/>
  <c r="Z144" i="11"/>
  <c r="AA140" i="11"/>
  <c r="AC46" i="11"/>
  <c r="I11" i="10"/>
  <c r="Z47" i="11"/>
  <c r="AC406" i="11"/>
  <c r="I82" i="10"/>
  <c r="Z407" i="11"/>
  <c r="Z380" i="11"/>
  <c r="AC379" i="11"/>
  <c r="I73" i="10"/>
  <c r="F73" i="10"/>
  <c r="AA345" i="11"/>
  <c r="Z349" i="11"/>
  <c r="Z268" i="11"/>
  <c r="I49" i="10"/>
  <c r="F49" i="10"/>
  <c r="I47" i="10"/>
  <c r="Z262" i="11"/>
  <c r="AC236" i="11"/>
  <c r="I42" i="10"/>
  <c r="Z237" i="11"/>
  <c r="AC116" i="11"/>
  <c r="I22" i="10"/>
  <c r="Z117" i="11"/>
  <c r="G70" i="10"/>
  <c r="AA351" i="11"/>
  <c r="Z355" i="11"/>
  <c r="AA298" i="11"/>
  <c r="Z302" i="11"/>
  <c r="AC283" i="11"/>
  <c r="I54" i="10"/>
  <c r="F54" i="10"/>
  <c r="Z284" i="11"/>
  <c r="G50" i="10"/>
  <c r="Z174" i="11"/>
  <c r="AA170" i="11"/>
  <c r="Z123" i="11"/>
  <c r="AC122" i="11"/>
  <c r="I23" i="10"/>
  <c r="Z388" i="11"/>
  <c r="AC298" i="11"/>
  <c r="I57" i="10"/>
  <c r="Z299" i="11"/>
  <c r="AA286" i="11"/>
  <c r="Z290" i="11"/>
  <c r="AC277" i="11"/>
  <c r="Z277" i="11"/>
  <c r="Z278" i="11"/>
  <c r="AA128" i="11"/>
  <c r="Z132" i="11"/>
  <c r="Z120" i="11"/>
  <c r="AA116" i="11"/>
  <c r="Z404" i="11"/>
  <c r="AC403" i="11"/>
  <c r="Z403" i="11"/>
  <c r="Z379" i="11"/>
  <c r="Z376" i="11"/>
  <c r="Z364" i="11"/>
  <c r="AC363" i="11"/>
  <c r="Z363" i="11"/>
  <c r="AC327" i="11"/>
  <c r="I62" i="10"/>
  <c r="Z328" i="11"/>
  <c r="AA315" i="11"/>
  <c r="Z319" i="11"/>
  <c r="AC265" i="11"/>
  <c r="I48" i="10"/>
  <c r="Z266" i="11"/>
  <c r="AA230" i="11"/>
  <c r="AC182" i="11"/>
  <c r="I33" i="10"/>
  <c r="Z183" i="11"/>
  <c r="Z138" i="11"/>
  <c r="AA134" i="11"/>
  <c r="AC246" i="11"/>
  <c r="I44" i="10"/>
  <c r="Z247" i="11"/>
  <c r="Z242" i="11"/>
  <c r="AA236" i="11"/>
  <c r="AC206" i="11"/>
  <c r="I37" i="10"/>
  <c r="Z207" i="11"/>
  <c r="AC188" i="11"/>
  <c r="I34" i="10"/>
  <c r="Z189" i="11"/>
  <c r="AC140" i="11"/>
  <c r="I26" i="10"/>
  <c r="Z141" i="11"/>
  <c r="AC40" i="11"/>
  <c r="I10" i="10"/>
  <c r="Z41" i="11"/>
  <c r="G19" i="10"/>
  <c r="G7" i="10"/>
  <c r="Z397" i="11"/>
  <c r="Z385" i="11"/>
  <c r="Z283" i="11"/>
  <c r="AC271" i="11"/>
  <c r="I50" i="10"/>
  <c r="Z272" i="11"/>
  <c r="AA224" i="11"/>
  <c r="Z228" i="11"/>
  <c r="AA206" i="11"/>
  <c r="AA188" i="11"/>
  <c r="AA164" i="11"/>
  <c r="Z168" i="11"/>
  <c r="Z135" i="11"/>
  <c r="AA91" i="11"/>
  <c r="Z96" i="11"/>
  <c r="Z54" i="11"/>
  <c r="AA34" i="11"/>
  <c r="Z38" i="11"/>
  <c r="AA200" i="11"/>
  <c r="Z204" i="11"/>
  <c r="AA152" i="11"/>
  <c r="Z156" i="11"/>
  <c r="AA104" i="11"/>
  <c r="Z108" i="11"/>
  <c r="AA78" i="11"/>
  <c r="G16" i="10"/>
  <c r="Z82" i="11"/>
  <c r="AA53" i="11"/>
  <c r="Z213" i="11"/>
  <c r="AC194" i="11"/>
  <c r="I35" i="10"/>
  <c r="AC158" i="11"/>
  <c r="I29" i="10"/>
  <c r="AA122" i="11"/>
  <c r="AC98" i="11"/>
  <c r="I19" i="10"/>
  <c r="AC72" i="11"/>
  <c r="I15" i="10"/>
  <c r="Z73" i="11"/>
  <c r="AA60" i="11"/>
  <c r="Z64" i="11"/>
  <c r="AA28" i="11"/>
  <c r="Z32" i="11"/>
  <c r="AC22" i="11"/>
  <c r="I7" i="10"/>
  <c r="Z23" i="11"/>
  <c r="AA16" i="11"/>
  <c r="AA10" i="11"/>
  <c r="Z14" i="11"/>
  <c r="AA4" i="11"/>
  <c r="Z8" i="11"/>
  <c r="G6" i="10"/>
  <c r="G24" i="10"/>
  <c r="G66" i="10"/>
  <c r="G45" i="10"/>
  <c r="J342" i="11"/>
  <c r="AB342" i="11"/>
  <c r="Z341" i="11"/>
  <c r="J336" i="11"/>
  <c r="AB336" i="11"/>
  <c r="Z336" i="11"/>
  <c r="Z335" i="11"/>
  <c r="Z100" i="11"/>
  <c r="J101" i="11"/>
  <c r="AB101" i="11"/>
  <c r="Z238" i="11"/>
  <c r="J239" i="11"/>
  <c r="AB239" i="11"/>
  <c r="J250" i="11"/>
  <c r="AB250" i="11"/>
  <c r="Z249" i="11"/>
  <c r="Z74" i="11"/>
  <c r="J75" i="11"/>
  <c r="AB75" i="11"/>
  <c r="Z75" i="11"/>
  <c r="Z368" i="11"/>
  <c r="J369" i="11"/>
  <c r="AB369" i="11"/>
  <c r="Z255" i="11"/>
  <c r="J256" i="11"/>
  <c r="AB256" i="11"/>
  <c r="Z256" i="11"/>
  <c r="Z142" i="11"/>
  <c r="J143" i="11"/>
  <c r="AB143" i="11"/>
  <c r="Z94" i="11"/>
  <c r="J95" i="11"/>
  <c r="AB95" i="11"/>
  <c r="Z95" i="11"/>
  <c r="Z136" i="11"/>
  <c r="J137" i="11"/>
  <c r="AB137" i="11"/>
  <c r="J37" i="11"/>
  <c r="AB37" i="11"/>
  <c r="AB34" i="11"/>
  <c r="Z37" i="11"/>
  <c r="Z36" i="11"/>
  <c r="Z18" i="11"/>
  <c r="J19" i="11"/>
  <c r="AB19" i="11"/>
  <c r="Z19" i="11"/>
  <c r="J313" i="11"/>
  <c r="AB313" i="11"/>
  <c r="Z312" i="11"/>
  <c r="J125" i="11"/>
  <c r="AB125" i="11"/>
  <c r="Z124" i="11"/>
  <c r="G8" i="10"/>
  <c r="Z406" i="11"/>
  <c r="G4" i="10"/>
  <c r="G28" i="10"/>
  <c r="G30" i="10"/>
  <c r="G40" i="10"/>
  <c r="Z265" i="11"/>
  <c r="G26" i="10"/>
  <c r="Z87" i="11"/>
  <c r="J88" i="11"/>
  <c r="AB88" i="11"/>
  <c r="Z88" i="11"/>
  <c r="J318" i="11"/>
  <c r="AB318" i="11"/>
  <c r="AB315" i="11"/>
  <c r="Z317" i="11"/>
  <c r="Z353" i="11"/>
  <c r="J354" i="11"/>
  <c r="AB354" i="11"/>
  <c r="Z354" i="11"/>
  <c r="J197" i="11"/>
  <c r="AB197" i="11"/>
  <c r="Z197" i="11"/>
  <c r="Z196" i="11"/>
  <c r="Z220" i="11"/>
  <c r="J221" i="11"/>
  <c r="AB221" i="11"/>
  <c r="Z221" i="11"/>
  <c r="J57" i="11"/>
  <c r="AB57" i="11"/>
  <c r="Z57" i="11"/>
  <c r="Z56" i="11"/>
  <c r="J348" i="11"/>
  <c r="AB348" i="11"/>
  <c r="AB345" i="11"/>
  <c r="Z345" i="11"/>
  <c r="Z347" i="11"/>
  <c r="Z232" i="11"/>
  <c r="J233" i="11"/>
  <c r="AB233" i="11"/>
  <c r="J31" i="11"/>
  <c r="AB31" i="11"/>
  <c r="Z30" i="11"/>
  <c r="J81" i="11"/>
  <c r="AB81" i="11"/>
  <c r="Z80" i="11"/>
  <c r="Z112" i="11"/>
  <c r="J113" i="11"/>
  <c r="AB113" i="11"/>
  <c r="AB110" i="11"/>
  <c r="H21" i="10"/>
  <c r="J13" i="11"/>
  <c r="AB13" i="11"/>
  <c r="Z12" i="11"/>
  <c r="J209" i="11"/>
  <c r="AB209" i="11"/>
  <c r="Z208" i="11"/>
  <c r="G55" i="10"/>
  <c r="G22" i="10"/>
  <c r="F47" i="10"/>
  <c r="F68" i="10"/>
  <c r="G13" i="10"/>
  <c r="G23" i="10"/>
  <c r="G12" i="10"/>
  <c r="G20" i="10"/>
  <c r="G9" i="10"/>
  <c r="G18" i="10"/>
  <c r="G34" i="10"/>
  <c r="Z259" i="11"/>
  <c r="G42" i="10"/>
  <c r="G31" i="10"/>
  <c r="F50" i="10"/>
  <c r="G65" i="10"/>
  <c r="G58" i="10"/>
  <c r="G64" i="10"/>
  <c r="Z300" i="11"/>
  <c r="J301" i="11"/>
  <c r="AB301" i="11"/>
  <c r="Z329" i="11"/>
  <c r="J330" i="11"/>
  <c r="AB330" i="11"/>
  <c r="Z330" i="11"/>
  <c r="Z172" i="11"/>
  <c r="J173" i="11"/>
  <c r="AB173" i="11"/>
  <c r="Z173" i="11"/>
  <c r="Z118" i="11"/>
  <c r="J119" i="11"/>
  <c r="AB119" i="11"/>
  <c r="Z119" i="11"/>
  <c r="J155" i="11"/>
  <c r="AB155" i="11"/>
  <c r="Z154" i="11"/>
  <c r="Z323" i="11"/>
  <c r="J324" i="11"/>
  <c r="AB324" i="11"/>
  <c r="Z324" i="11"/>
  <c r="J179" i="11"/>
  <c r="AB179" i="11"/>
  <c r="Z179" i="11"/>
  <c r="AB176" i="11"/>
  <c r="H32" i="10"/>
  <c r="Z178" i="11"/>
  <c r="Z184" i="11"/>
  <c r="J185" i="11"/>
  <c r="AB185" i="11"/>
  <c r="Z24" i="11"/>
  <c r="J25" i="11"/>
  <c r="AB25" i="11"/>
  <c r="J63" i="11"/>
  <c r="AB63" i="11"/>
  <c r="Z63" i="11"/>
  <c r="AB60" i="11"/>
  <c r="Z62" i="11"/>
  <c r="Z68" i="11"/>
  <c r="J69" i="11"/>
  <c r="AB69" i="11"/>
  <c r="Z214" i="11"/>
  <c r="J215" i="11"/>
  <c r="AB215" i="11"/>
  <c r="Z215" i="11"/>
  <c r="G38" i="10"/>
  <c r="G32" i="10"/>
  <c r="F48" i="10"/>
  <c r="G5" i="10"/>
  <c r="G36" i="10"/>
  <c r="G37" i="10"/>
  <c r="G25" i="10"/>
  <c r="G41" i="10"/>
  <c r="G60" i="10"/>
  <c r="Z271" i="11"/>
  <c r="G57" i="10"/>
  <c r="F46" i="10"/>
  <c r="F82" i="10"/>
  <c r="F72" i="10"/>
  <c r="Z190" i="11"/>
  <c r="J191" i="11"/>
  <c r="AB191" i="11"/>
  <c r="Z191" i="11"/>
  <c r="J7" i="11"/>
  <c r="AB7" i="11"/>
  <c r="Z6" i="11"/>
  <c r="H58" i="10"/>
  <c r="Z306" i="11"/>
  <c r="J307" i="11"/>
  <c r="AB307" i="11"/>
  <c r="AB304" i="11"/>
  <c r="J227" i="11"/>
  <c r="AB227" i="11"/>
  <c r="Z226" i="11"/>
  <c r="J289" i="11"/>
  <c r="AB289" i="11"/>
  <c r="Z289" i="11"/>
  <c r="Z288" i="11"/>
  <c r="Z148" i="11"/>
  <c r="J149" i="11"/>
  <c r="AB149" i="11"/>
  <c r="Z149" i="11"/>
  <c r="AB371" i="11"/>
  <c r="H71" i="10"/>
  <c r="Z373" i="11"/>
  <c r="J374" i="11"/>
  <c r="AB374" i="11"/>
  <c r="Z374" i="11"/>
  <c r="Z294" i="11"/>
  <c r="J295" i="11"/>
  <c r="AB295" i="11"/>
  <c r="Z166" i="11"/>
  <c r="J167" i="11"/>
  <c r="AB167" i="11"/>
  <c r="Z167" i="11"/>
  <c r="J107" i="11"/>
  <c r="AB107" i="11"/>
  <c r="Z106" i="11"/>
  <c r="AB158" i="11"/>
  <c r="H29" i="10"/>
  <c r="J161" i="11"/>
  <c r="AB161" i="11"/>
  <c r="Z161" i="11"/>
  <c r="Z160" i="11"/>
  <c r="J50" i="11"/>
  <c r="AB50" i="11"/>
  <c r="Z50" i="11"/>
  <c r="AB46" i="11"/>
  <c r="H11" i="10"/>
  <c r="Z49" i="11"/>
  <c r="Z42" i="11"/>
  <c r="J43" i="11"/>
  <c r="AB43" i="11"/>
  <c r="J203" i="11"/>
  <c r="AB203" i="11"/>
  <c r="Z202" i="11"/>
  <c r="J131" i="11"/>
  <c r="AB131" i="11"/>
  <c r="AB128" i="11"/>
  <c r="H24" i="10"/>
  <c r="Z130" i="11"/>
  <c r="AB218" i="11"/>
  <c r="H39" i="10"/>
  <c r="AB321" i="11"/>
  <c r="AB84" i="11"/>
  <c r="AB253" i="11"/>
  <c r="Z128" i="11"/>
  <c r="AB188" i="11"/>
  <c r="AB146" i="11"/>
  <c r="AB212" i="11"/>
  <c r="AB116" i="11"/>
  <c r="AB170" i="11"/>
  <c r="AB53" i="11"/>
  <c r="AB194" i="11"/>
  <c r="AB351" i="11"/>
  <c r="H66" i="10"/>
  <c r="AB16" i="11"/>
  <c r="AB91" i="11"/>
  <c r="AB72" i="11"/>
  <c r="AB333" i="11"/>
  <c r="Z371" i="11"/>
  <c r="Z304" i="11"/>
  <c r="H6" i="10"/>
  <c r="Z16" i="11"/>
  <c r="Z351" i="11"/>
  <c r="H22" i="10"/>
  <c r="Z116" i="11"/>
  <c r="H61" i="10"/>
  <c r="F71" i="10"/>
  <c r="H63" i="10"/>
  <c r="Z333" i="11"/>
  <c r="H35" i="10"/>
  <c r="H34" i="10"/>
  <c r="Z188" i="11"/>
  <c r="Z84" i="11"/>
  <c r="H17" i="10"/>
  <c r="H15" i="10"/>
  <c r="H12" i="10"/>
  <c r="Z53" i="11"/>
  <c r="H27" i="10"/>
  <c r="Z146" i="11"/>
  <c r="H18" i="10"/>
  <c r="H31" i="10"/>
  <c r="Z170" i="11"/>
  <c r="H45" i="10"/>
  <c r="F45" i="10"/>
  <c r="Z253" i="11"/>
  <c r="F17" i="10"/>
  <c r="F66" i="10"/>
  <c r="F31" i="10"/>
  <c r="F12" i="10"/>
  <c r="F22" i="10"/>
  <c r="F27" i="10"/>
  <c r="F63" i="10"/>
  <c r="F34" i="10"/>
  <c r="F24" i="10"/>
  <c r="Z212" i="11"/>
  <c r="H38" i="10"/>
  <c r="AB292" i="11"/>
  <c r="H56" i="10"/>
  <c r="Z295" i="11"/>
  <c r="F6" i="10"/>
  <c r="Z25" i="11"/>
  <c r="AB22" i="11"/>
  <c r="F58" i="10"/>
  <c r="Z125" i="11"/>
  <c r="AB122" i="11"/>
  <c r="Z137" i="11"/>
  <c r="AB134" i="11"/>
  <c r="Z203" i="11"/>
  <c r="AB200" i="11"/>
  <c r="Z7" i="11"/>
  <c r="AB4" i="11"/>
  <c r="AB298" i="11"/>
  <c r="Z301" i="11"/>
  <c r="H13" i="10"/>
  <c r="AB327" i="11"/>
  <c r="Z43" i="11"/>
  <c r="AB40" i="11"/>
  <c r="H10" i="10"/>
  <c r="AB104" i="11"/>
  <c r="Z107" i="11"/>
  <c r="Z227" i="11"/>
  <c r="AB224" i="11"/>
  <c r="Z69" i="11"/>
  <c r="AB66" i="11"/>
  <c r="AB182" i="11"/>
  <c r="H33" i="10"/>
  <c r="Z185" i="11"/>
  <c r="Z155" i="11"/>
  <c r="AB152" i="11"/>
  <c r="Z31" i="11"/>
  <c r="AB28" i="11"/>
  <c r="Z143" i="11"/>
  <c r="AB140" i="11"/>
  <c r="AB164" i="11"/>
  <c r="Z131" i="11"/>
  <c r="AB286" i="11"/>
  <c r="Z307" i="11"/>
  <c r="Z81" i="11"/>
  <c r="AB78" i="11"/>
  <c r="AB230" i="11"/>
  <c r="Z233" i="11"/>
  <c r="Z313" i="11"/>
  <c r="AB310" i="11"/>
  <c r="H9" i="10"/>
  <c r="AB366" i="11"/>
  <c r="Z369" i="11"/>
  <c r="Z250" i="11"/>
  <c r="AB246" i="11"/>
  <c r="H44" i="10"/>
  <c r="AB98" i="11"/>
  <c r="Z101" i="11"/>
  <c r="AB206" i="11"/>
  <c r="Z209" i="11"/>
  <c r="Z13" i="11"/>
  <c r="AB10" i="11"/>
  <c r="H65" i="10"/>
  <c r="Z315" i="11"/>
  <c r="H60" i="10"/>
  <c r="Z239" i="11"/>
  <c r="AB236" i="11"/>
  <c r="Z342" i="11"/>
  <c r="AB339" i="11"/>
  <c r="F77" i="10"/>
  <c r="Z113" i="11"/>
  <c r="Z348" i="11"/>
  <c r="Z318" i="11"/>
  <c r="I81" i="10"/>
  <c r="I52" i="10"/>
  <c r="I69" i="10"/>
  <c r="Z382" i="11"/>
  <c r="AC357" i="11"/>
  <c r="Z358" i="11"/>
  <c r="Z325" i="11"/>
  <c r="AA321" i="11"/>
  <c r="G51" i="10"/>
  <c r="AA218" i="11"/>
  <c r="Z222" i="11"/>
  <c r="AA194" i="11"/>
  <c r="AA158" i="11"/>
  <c r="Z67" i="11"/>
  <c r="AC66" i="11"/>
  <c r="I14" i="10"/>
  <c r="AA40" i="11"/>
  <c r="Z44" i="11"/>
  <c r="F75" i="10"/>
  <c r="AC315" i="11"/>
  <c r="I60" i="10"/>
  <c r="Z316" i="11"/>
  <c r="Z296" i="11"/>
  <c r="AA292" i="11"/>
  <c r="AA182" i="11"/>
  <c r="Z186" i="11"/>
  <c r="AC176" i="11"/>
  <c r="Z177" i="11"/>
  <c r="F53" i="10"/>
  <c r="AC394" i="11"/>
  <c r="Z395" i="11"/>
  <c r="AC286" i="11"/>
  <c r="I55" i="10"/>
  <c r="Z287" i="11"/>
  <c r="Z280" i="11"/>
  <c r="AC274" i="11"/>
  <c r="I51" i="10"/>
  <c r="Z275" i="11"/>
  <c r="F43" i="10"/>
  <c r="AA110" i="11"/>
  <c r="Z114" i="11"/>
  <c r="AC60" i="11"/>
  <c r="I13" i="10"/>
  <c r="Z61" i="11"/>
  <c r="G80" i="10"/>
  <c r="Z293" i="11"/>
  <c r="AC292" i="11"/>
  <c r="I56" i="10"/>
  <c r="AC200" i="11"/>
  <c r="I36" i="10"/>
  <c r="Z201" i="11"/>
  <c r="Z92" i="11"/>
  <c r="AC91" i="11"/>
  <c r="AA72" i="11"/>
  <c r="Z76" i="11"/>
  <c r="AA46" i="11"/>
  <c r="AC34" i="11"/>
  <c r="I9" i="10"/>
  <c r="Z35" i="11"/>
  <c r="Z367" i="11"/>
  <c r="Z352" i="11"/>
  <c r="Z281" i="11"/>
  <c r="AA246" i="11"/>
  <c r="Z231" i="11"/>
  <c r="Z225" i="11"/>
  <c r="AC400" i="11"/>
  <c r="I80" i="10"/>
  <c r="Z102" i="11"/>
  <c r="F80" i="10"/>
  <c r="I32" i="10"/>
  <c r="Z176" i="11"/>
  <c r="F9" i="10"/>
  <c r="Z28" i="11"/>
  <c r="H8" i="10"/>
  <c r="H36" i="10"/>
  <c r="Z200" i="11"/>
  <c r="G44" i="10"/>
  <c r="Z246" i="11"/>
  <c r="G15" i="10"/>
  <c r="Z72" i="11"/>
  <c r="Z400" i="11"/>
  <c r="G21" i="10"/>
  <c r="Z110" i="11"/>
  <c r="Z394" i="11"/>
  <c r="I78" i="10"/>
  <c r="G39" i="10"/>
  <c r="Z218" i="11"/>
  <c r="H64" i="10"/>
  <c r="Z339" i="11"/>
  <c r="F65" i="10"/>
  <c r="H37" i="10"/>
  <c r="Z206" i="11"/>
  <c r="Z34" i="11"/>
  <c r="H41" i="10"/>
  <c r="Z230" i="11"/>
  <c r="Z164" i="11"/>
  <c r="H30" i="10"/>
  <c r="H20" i="10"/>
  <c r="Z104" i="11"/>
  <c r="H23" i="10"/>
  <c r="Z122" i="11"/>
  <c r="H16" i="10"/>
  <c r="Z78" i="11"/>
  <c r="F13" i="10"/>
  <c r="I18" i="10"/>
  <c r="Z91" i="11"/>
  <c r="G33" i="10"/>
  <c r="Z182" i="11"/>
  <c r="G29" i="10"/>
  <c r="Z158" i="11"/>
  <c r="F51" i="10"/>
  <c r="F52" i="10"/>
  <c r="Z10" i="11"/>
  <c r="H5" i="10"/>
  <c r="Z310" i="11"/>
  <c r="H59" i="10"/>
  <c r="Z140" i="11"/>
  <c r="H26" i="10"/>
  <c r="H40" i="10"/>
  <c r="Z224" i="11"/>
  <c r="H62" i="10"/>
  <c r="Z327" i="11"/>
  <c r="F38" i="10"/>
  <c r="G61" i="10"/>
  <c r="Z321" i="11"/>
  <c r="G11" i="10"/>
  <c r="Z46" i="11"/>
  <c r="G56" i="10"/>
  <c r="Z292" i="11"/>
  <c r="G10" i="10"/>
  <c r="Z40" i="11"/>
  <c r="G35" i="10"/>
  <c r="Z194" i="11"/>
  <c r="Z274" i="11"/>
  <c r="I67" i="10"/>
  <c r="Z357" i="11"/>
  <c r="F69" i="10"/>
  <c r="F81" i="10"/>
  <c r="Z236" i="11"/>
  <c r="H42" i="10"/>
  <c r="F60" i="10"/>
  <c r="Z98" i="11"/>
  <c r="H19" i="10"/>
  <c r="H70" i="10"/>
  <c r="Z366" i="11"/>
  <c r="Z286" i="11"/>
  <c r="H55" i="10"/>
  <c r="H28" i="10"/>
  <c r="Z152" i="11"/>
  <c r="H14" i="10"/>
  <c r="Z66" i="11"/>
  <c r="Z60" i="11"/>
  <c r="H57" i="10"/>
  <c r="Z298" i="11"/>
  <c r="Z4" i="11"/>
  <c r="H4" i="10"/>
  <c r="H25" i="10"/>
  <c r="Z134" i="11"/>
  <c r="Z22" i="11"/>
  <c r="H7" i="10"/>
  <c r="F25" i="10"/>
  <c r="F18" i="10"/>
  <c r="F41" i="10"/>
  <c r="F55" i="10"/>
  <c r="F19" i="10"/>
  <c r="F42" i="10"/>
  <c r="F59" i="10"/>
  <c r="F29" i="10"/>
  <c r="F16" i="10"/>
  <c r="F20" i="10"/>
  <c r="F30" i="10"/>
  <c r="F64" i="10"/>
  <c r="F36" i="10"/>
  <c r="F8" i="10"/>
  <c r="F11" i="10"/>
  <c r="F37" i="10"/>
  <c r="F44" i="10"/>
  <c r="F57" i="10"/>
  <c r="F14" i="10"/>
  <c r="F35" i="10"/>
  <c r="F56" i="10"/>
  <c r="F62" i="10"/>
  <c r="F40" i="10"/>
  <c r="F23" i="10"/>
  <c r="F39" i="10"/>
  <c r="F21" i="10"/>
  <c r="F15" i="10"/>
  <c r="F32" i="10"/>
  <c r="F28" i="10"/>
  <c r="F70" i="10"/>
  <c r="F10" i="10"/>
  <c r="F7" i="10"/>
  <c r="F4" i="10"/>
  <c r="F67" i="10"/>
  <c r="F61" i="10"/>
  <c r="F26" i="10"/>
  <c r="F5" i="10"/>
  <c r="F33" i="10"/>
  <c r="F78" i="10"/>
  <c r="AZ8" i="16"/>
  <c r="AU12" i="16"/>
  <c r="AG58" i="16"/>
  <c r="AU52" i="16"/>
  <c r="AJ60" i="16"/>
  <c r="AT35" i="16"/>
  <c r="V29" i="16"/>
  <c r="AC63" i="16"/>
  <c r="AU63" i="16"/>
  <c r="CZ65" i="16"/>
  <c r="AI70" i="16"/>
  <c r="AC62" i="16"/>
  <c r="AU62" i="16"/>
  <c r="AP65" i="16"/>
  <c r="AC64" i="16"/>
  <c r="AU64" i="16"/>
  <c r="DA65" i="16"/>
  <c r="AI71" i="16"/>
  <c r="AC15" i="16"/>
  <c r="AC16" i="16"/>
  <c r="AM14" i="16"/>
  <c r="AC14" i="16"/>
  <c r="AM15" i="16"/>
  <c r="CZ17" i="16"/>
  <c r="AM16" i="16"/>
  <c r="DA17" i="16"/>
  <c r="AC31" i="16"/>
  <c r="AL33" i="16"/>
  <c r="AP39" i="16"/>
  <c r="Y41" i="16"/>
  <c r="CY65" i="16"/>
  <c r="CX65" i="16"/>
  <c r="Q71" i="16"/>
  <c r="AJ43" i="16"/>
  <c r="Q70" i="16"/>
  <c r="AI69" i="16"/>
  <c r="CY17" i="16"/>
  <c r="AI17" i="16"/>
  <c r="AC45" i="16"/>
  <c r="AM47" i="16"/>
  <c r="DA48" i="16"/>
  <c r="AC46" i="16"/>
  <c r="AC47" i="16"/>
  <c r="AM45" i="16"/>
  <c r="AS46" i="16"/>
  <c r="CZ48" i="16"/>
  <c r="Q69" i="16"/>
  <c r="CX17" i="16"/>
  <c r="Y70" i="16"/>
  <c r="AQ70" i="16"/>
  <c r="CZ72" i="16"/>
  <c r="CZ4" i="16"/>
  <c r="AI48" i="16"/>
  <c r="CY48" i="16"/>
  <c r="Y71" i="16"/>
  <c r="AQ71" i="16"/>
  <c r="DA72" i="16"/>
  <c r="DA4" i="16"/>
  <c r="CX48" i="16"/>
  <c r="Y69" i="16"/>
  <c r="AQ69" i="16"/>
  <c r="CY72" i="16"/>
  <c r="R72" i="16"/>
  <c r="CY4" i="16"/>
  <c r="CX72" i="16"/>
  <c r="CX4" i="16"/>
</calcChain>
</file>

<file path=xl/sharedStrings.xml><?xml version="1.0" encoding="utf-8"?>
<sst xmlns="http://schemas.openxmlformats.org/spreadsheetml/2006/main" count="4879" uniqueCount="965">
  <si>
    <t>규  격</t>
  </si>
  <si>
    <t>32. 아스팔트 디스트리뷰터</t>
  </si>
  <si>
    <t>회수호스손료</t>
  </si>
  <si>
    <t>단  가</t>
  </si>
  <si>
    <t>H 형강</t>
  </si>
  <si>
    <t>900×1200</t>
  </si>
  <si>
    <t>밸브인서트</t>
  </si>
  <si>
    <t>69. 모  터</t>
  </si>
  <si>
    <t>121</t>
  </si>
  <si>
    <t>물탱크</t>
  </si>
  <si>
    <t>Φ3.2mm기준</t>
  </si>
  <si>
    <t>비     고</t>
  </si>
  <si>
    <t>54</t>
  </si>
  <si>
    <t>SF303038</t>
  </si>
  <si>
    <t>유량압력측정손료</t>
  </si>
  <si>
    <t>그라우팅 믹서손료</t>
  </si>
  <si>
    <t>KS F 2353</t>
  </si>
  <si>
    <t>DM 1.5V</t>
  </si>
  <si>
    <t>비포장</t>
  </si>
  <si>
    <t>SF404038</t>
  </si>
  <si>
    <t>발전기손료</t>
  </si>
  <si>
    <t>메탈리밍셀</t>
  </si>
  <si>
    <t>190×2ℓ</t>
  </si>
  <si>
    <t>161</t>
  </si>
  <si>
    <t>완충브래킷</t>
  </si>
  <si>
    <t>플레이트 콤팩터손료</t>
  </si>
  <si>
    <t>TS판넬(싱글슬라이드)</t>
  </si>
  <si>
    <t>고재대</t>
  </si>
  <si>
    <t>30kW</t>
  </si>
  <si>
    <t>잡  품</t>
  </si>
  <si>
    <t>-</t>
  </si>
  <si>
    <t>59. 발전기</t>
  </si>
  <si>
    <t>크레인(타이어)손료</t>
  </si>
  <si>
    <t>플랜트 전공</t>
  </si>
  <si>
    <t>14</t>
  </si>
  <si>
    <t>포장도로</t>
  </si>
  <si>
    <t>34. 콘크리트 믹서</t>
  </si>
  <si>
    <t>700*500</t>
  </si>
  <si>
    <t>144</t>
  </si>
  <si>
    <t>VAT포함</t>
  </si>
  <si>
    <t>특수첨단장치</t>
  </si>
  <si>
    <t>덤프트럭(자동덮개)덮개손료</t>
  </si>
  <si>
    <t>가드레일(고규격)</t>
  </si>
  <si>
    <t>16mm</t>
  </si>
  <si>
    <t>불도우저(무한궤도)손료</t>
  </si>
  <si>
    <t>마그네틱전기드릴</t>
  </si>
  <si>
    <t>31</t>
  </si>
  <si>
    <t>에스톤</t>
  </si>
  <si>
    <t>드릴롯드</t>
  </si>
  <si>
    <t>고    철</t>
  </si>
  <si>
    <t>SGR 약액</t>
  </si>
  <si>
    <t>3T×40mm×6m</t>
  </si>
  <si>
    <t>일반용</t>
  </si>
  <si>
    <t>재료비 소수 1 미만 절하</t>
  </si>
  <si>
    <t>임팩트렌치</t>
  </si>
  <si>
    <t>104</t>
  </si>
  <si>
    <t>특별인부</t>
  </si>
  <si>
    <t>6.71kW</t>
  </si>
  <si>
    <t>전    력</t>
  </si>
  <si>
    <t>200kW</t>
  </si>
  <si>
    <t>D25×1,000</t>
  </si>
  <si>
    <t>건축목공</t>
  </si>
  <si>
    <t>71</t>
  </si>
  <si>
    <t>0.7㎥</t>
  </si>
  <si>
    <t>94</t>
  </si>
  <si>
    <t>Q</t>
  </si>
  <si>
    <t>49. 진동파일해머</t>
  </si>
  <si>
    <t>상수도용 (에피워터 E-135)</t>
  </si>
  <si>
    <t>탄화물제거제</t>
  </si>
  <si>
    <t>12. 덤프트럭</t>
  </si>
  <si>
    <t>경    비</t>
  </si>
  <si>
    <t>보통인부</t>
  </si>
  <si>
    <t>굴삭기(유압식백호)손료</t>
  </si>
  <si>
    <t>140</t>
  </si>
  <si>
    <t>25. 크레인(타이어)</t>
  </si>
  <si>
    <t>본</t>
  </si>
  <si>
    <t>철 근 공</t>
  </si>
  <si>
    <t>밸브와샤</t>
  </si>
  <si>
    <t>화물차운전사</t>
  </si>
  <si>
    <t>43. 그라우팅 믹서</t>
  </si>
  <si>
    <t>배전판손료</t>
  </si>
  <si>
    <t>삼조교반장치손료</t>
  </si>
  <si>
    <t>35</t>
  </si>
  <si>
    <t>강널말뚝</t>
  </si>
  <si>
    <t>탄성충격흡수볼라드</t>
  </si>
  <si>
    <t>잡    품</t>
  </si>
  <si>
    <t>100</t>
  </si>
  <si>
    <t>0.508mm×100mm×30m</t>
  </si>
  <si>
    <t>15. 덤프트럭(자동덮개)</t>
  </si>
  <si>
    <t>90</t>
  </si>
  <si>
    <t>중급기술자</t>
  </si>
  <si>
    <t>75</t>
  </si>
  <si>
    <t>TS판넬(더블슬라이드)</t>
  </si>
  <si>
    <t>Cms</t>
  </si>
  <si>
    <t>기계설비공</t>
  </si>
  <si>
    <t>150*150</t>
  </si>
  <si>
    <t>125</t>
  </si>
  <si>
    <t>L=1200</t>
  </si>
  <si>
    <t>N 75</t>
  </si>
  <si>
    <t>발전기</t>
  </si>
  <si>
    <t>50</t>
  </si>
  <si>
    <t>D150mm</t>
  </si>
  <si>
    <t>GS-575</t>
  </si>
  <si>
    <t>15Ton</t>
  </si>
  <si>
    <t>타이어 로울러(자주식)손료</t>
  </si>
  <si>
    <t>165</t>
  </si>
  <si>
    <t>다짐횟수시험(표층용)</t>
  </si>
  <si>
    <t>68. 디젤 엔진</t>
  </si>
  <si>
    <t>트럭탑재형크레인</t>
  </si>
  <si>
    <t>)</t>
  </si>
  <si>
    <t>LPG 가스</t>
  </si>
  <si>
    <t>10</t>
  </si>
  <si>
    <t>f</t>
  </si>
  <si>
    <t>불도우저(무한궤도)</t>
  </si>
  <si>
    <t>106</t>
  </si>
  <si>
    <t>더블코아바렐</t>
  </si>
  <si>
    <t>1/8*16/12*25/20*12/10</t>
  </si>
  <si>
    <t>10. 로우더(타이어)</t>
  </si>
  <si>
    <t>7. 굴삭기(유압식백호)</t>
  </si>
  <si>
    <t>콘크리트 믹서손료</t>
  </si>
  <si>
    <t>체가름 시험(표층용)</t>
  </si>
  <si>
    <t>아스팔트페이버(피니셔)</t>
  </si>
  <si>
    <t>3.2×460×4330mm(3W)</t>
  </si>
  <si>
    <t>물가정보</t>
  </si>
  <si>
    <t>밀도(혼합물의포설)</t>
  </si>
  <si>
    <t>61. 발전기</t>
  </si>
  <si>
    <t>중급숙련기술자</t>
  </si>
  <si>
    <t>파일천공전용장비</t>
  </si>
  <si>
    <t>엔진오일 sk, zic5000</t>
  </si>
  <si>
    <t>내부판넬 (목재문)</t>
  </si>
  <si>
    <t>73</t>
  </si>
  <si>
    <t>크로울러 드릴(공기식)손료</t>
  </si>
  <si>
    <t>철못</t>
  </si>
  <si>
    <t>Cm</t>
  </si>
  <si>
    <t>set</t>
  </si>
  <si>
    <t>148</t>
  </si>
  <si>
    <t>96</t>
  </si>
  <si>
    <t>20×40×70×2.3t</t>
  </si>
  <si>
    <t>67. 디젤 엔진</t>
  </si>
  <si>
    <t>기계경비</t>
  </si>
  <si>
    <t>146</t>
  </si>
  <si>
    <t>98</t>
  </si>
  <si>
    <t>450×600mm</t>
  </si>
  <si>
    <t>굴삭기(유압식백호)</t>
  </si>
  <si>
    <t>굴삭기(유압식백호)</t>
  </si>
  <si>
    <t>기본재료비</t>
  </si>
  <si>
    <t>트럭트랙터및평판트레일러손료</t>
  </si>
  <si>
    <t>33</t>
  </si>
  <si>
    <t>공기밸브용 플랜지</t>
  </si>
  <si>
    <t>12.0＜T≤ 20.0  2438x6096mm</t>
  </si>
  <si>
    <t>용 접 공</t>
  </si>
  <si>
    <t>화   폐</t>
  </si>
  <si>
    <t>32m,80~95㎥/hr</t>
  </si>
  <si>
    <t>108</t>
  </si>
  <si>
    <t>1.0㎥</t>
  </si>
  <si>
    <t>58</t>
  </si>
  <si>
    <t>라인마커</t>
  </si>
  <si>
    <t>유로(E)</t>
  </si>
  <si>
    <t>대형브레이카브레이카손료</t>
  </si>
  <si>
    <t>163</t>
  </si>
  <si>
    <t>경    유</t>
  </si>
  <si>
    <t>환  율</t>
  </si>
  <si>
    <t>5Ton</t>
  </si>
  <si>
    <t>/</t>
  </si>
  <si>
    <t>10mm(아연도금)</t>
  </si>
  <si>
    <t>16</t>
  </si>
  <si>
    <t>Φ130×1030(이동식)</t>
  </si>
  <si>
    <t>윙카등</t>
  </si>
  <si>
    <t>5500ℓ</t>
  </si>
  <si>
    <t>18</t>
  </si>
  <si>
    <t>ea</t>
  </si>
  <si>
    <t>KS F 2311</t>
  </si>
  <si>
    <t>17㎥/min</t>
  </si>
  <si>
    <t>비   고</t>
  </si>
  <si>
    <t>300X300X60 (점형 6T황색)</t>
  </si>
  <si>
    <t>123</t>
  </si>
  <si>
    <t>n</t>
  </si>
  <si>
    <t>D100mm</t>
  </si>
  <si>
    <t>공기 압축기손료</t>
  </si>
  <si>
    <t>10Km/hr</t>
  </si>
  <si>
    <t>조 경 공</t>
  </si>
  <si>
    <t>10Ton</t>
  </si>
  <si>
    <t>주입호스손료</t>
  </si>
  <si>
    <t>철 골 공</t>
  </si>
  <si>
    <t>엔(100￥)</t>
  </si>
  <si>
    <t>56</t>
  </si>
  <si>
    <t>강재천공기손료</t>
  </si>
  <si>
    <t>턴버클</t>
  </si>
  <si>
    <t>167</t>
  </si>
  <si>
    <t>qs</t>
  </si>
  <si>
    <t>1호,고휘도</t>
  </si>
  <si>
    <t>열연강판(박판)</t>
  </si>
  <si>
    <t>크레인(타이어)</t>
  </si>
  <si>
    <t>(32Ton)</t>
  </si>
  <si>
    <t>소창</t>
  </si>
  <si>
    <t>￦×</t>
  </si>
  <si>
    <t>GF-62 SGR</t>
  </si>
  <si>
    <t>환봉지지연결구</t>
  </si>
  <si>
    <t>노임계수</t>
  </si>
  <si>
    <t>+</t>
  </si>
  <si>
    <t>12</t>
  </si>
  <si>
    <t>적용재료비</t>
  </si>
  <si>
    <t>129</t>
  </si>
  <si>
    <t>L1</t>
  </si>
  <si>
    <t>D12MM</t>
  </si>
  <si>
    <t>127</t>
  </si>
  <si>
    <t>2.0m</t>
  </si>
  <si>
    <t>60kW</t>
  </si>
  <si>
    <t>3600×200×200mm미만</t>
  </si>
  <si>
    <t>출입구채양 (CANOPY)</t>
  </si>
  <si>
    <t>%</t>
  </si>
  <si>
    <t>노상토 지지력비 시험(보조기층)</t>
  </si>
  <si>
    <t>#20, 0.9mm</t>
  </si>
  <si>
    <t>경</t>
  </si>
  <si>
    <t>52. 파일천공전용장비</t>
  </si>
  <si>
    <t>52</t>
  </si>
  <si>
    <t>(24Ton)</t>
  </si>
  <si>
    <t>잡   품</t>
  </si>
  <si>
    <t>탠덤 로울러(자주식)손료</t>
  </si>
  <si>
    <t>169</t>
  </si>
  <si>
    <t>4.</t>
  </si>
  <si>
    <t>10.5톤, 140km</t>
  </si>
  <si>
    <t>T-BAR</t>
  </si>
  <si>
    <t>39</t>
  </si>
  <si>
    <t>37. 공기 압축기</t>
  </si>
  <si>
    <t>인장강도비 시험(표층용)</t>
  </si>
  <si>
    <t>충진용매스틱</t>
  </si>
  <si>
    <t>16000ℓ</t>
  </si>
  <si>
    <t>운</t>
  </si>
  <si>
    <t>102</t>
  </si>
  <si>
    <t>40kg/포</t>
  </si>
  <si>
    <t>비 계 공</t>
  </si>
  <si>
    <t>92</t>
  </si>
  <si>
    <t>비    고</t>
  </si>
  <si>
    <t>41. 로우더(타이어)+소형노면파쇄기</t>
  </si>
  <si>
    <t>시공상세도</t>
  </si>
  <si>
    <t>D1200mm</t>
  </si>
  <si>
    <t>건설기계운전사</t>
  </si>
  <si>
    <t>보조기층용, D75mm</t>
  </si>
  <si>
    <t>77</t>
  </si>
  <si>
    <t>250kW</t>
  </si>
  <si>
    <t>건설용펌프(자흡식)</t>
  </si>
  <si>
    <t>79</t>
  </si>
  <si>
    <t>경량A</t>
  </si>
  <si>
    <t>29. 트럭탑재형크레인</t>
  </si>
  <si>
    <t>0.2㎥</t>
  </si>
  <si>
    <t>진동파일해머손료</t>
  </si>
  <si>
    <t>142</t>
  </si>
  <si>
    <t>60Ton</t>
  </si>
  <si>
    <t>D600mm</t>
  </si>
  <si>
    <t>16. 머캐덤 로울러(자주식)</t>
  </si>
  <si>
    <t>72. 저수탱크</t>
  </si>
  <si>
    <t>37</t>
  </si>
  <si>
    <t>외부판넬 (창문)</t>
  </si>
  <si>
    <t>+굴삭기(0.6㎥)</t>
  </si>
  <si>
    <t>131</t>
  </si>
  <si>
    <t>현장밀도시험(되메우기)</t>
  </si>
  <si>
    <t>42. 노면파쇄기</t>
  </si>
  <si>
    <t>조 력 공</t>
  </si>
  <si>
    <t>No</t>
  </si>
  <si>
    <t>44</t>
  </si>
  <si>
    <t>8. 대형브레이카</t>
  </si>
  <si>
    <t>아스팔트유제</t>
  </si>
  <si>
    <t>4.85kw</t>
  </si>
  <si>
    <t>에폭시신너</t>
  </si>
  <si>
    <t>에폭시수지</t>
  </si>
  <si>
    <t>혼합골재</t>
  </si>
  <si>
    <t>L=2400</t>
  </si>
  <si>
    <t>함수비시험(되메우기)</t>
  </si>
  <si>
    <t>75. 배전판</t>
  </si>
  <si>
    <t>견적가1</t>
  </si>
  <si>
    <t>액상접착제(프라이머)</t>
  </si>
  <si>
    <t>NX 1.5m</t>
  </si>
  <si>
    <t>시각장애인용점자블록(고강도)</t>
  </si>
  <si>
    <t>EA</t>
  </si>
  <si>
    <t>노무비 소수 1 미만 절하</t>
  </si>
  <si>
    <t>공시지가</t>
  </si>
  <si>
    <t>17. 탠덤 로울러(자주식)</t>
  </si>
  <si>
    <t>t4</t>
  </si>
  <si>
    <t>1</t>
  </si>
  <si>
    <t>1</t>
  </si>
  <si>
    <t>휘 발 유</t>
  </si>
  <si>
    <t>66. 건설용펌프(자흡식)</t>
  </si>
  <si>
    <t>154</t>
  </si>
  <si>
    <t>콘크리트 펌프차손료</t>
  </si>
  <si>
    <t>4.5Ton</t>
  </si>
  <si>
    <t>21</t>
  </si>
  <si>
    <t>5.0t</t>
  </si>
  <si>
    <t>차선규제봉</t>
  </si>
  <si>
    <t>600A×100A</t>
  </si>
  <si>
    <t>대형브레이카</t>
  </si>
  <si>
    <t>130×110×30mm</t>
  </si>
  <si>
    <t>오거</t>
  </si>
  <si>
    <t>60. 발전기</t>
  </si>
  <si>
    <t>114</t>
  </si>
  <si>
    <t>NX</t>
  </si>
  <si>
    <t>D300mm</t>
  </si>
  <si>
    <t>5. 굴삭기(유압식백호)</t>
  </si>
  <si>
    <t>역청함유량시험(기층용)</t>
  </si>
  <si>
    <t>정기안전점검비용</t>
  </si>
  <si>
    <t>구조용ㄱ형강</t>
  </si>
  <si>
    <t>30Ton</t>
  </si>
  <si>
    <t>진동파일해머</t>
  </si>
  <si>
    <t>84</t>
  </si>
  <si>
    <t>포 장 공</t>
  </si>
  <si>
    <t>도로경계석(화강석)</t>
  </si>
  <si>
    <t>61</t>
  </si>
  <si>
    <t>3.0m</t>
  </si>
  <si>
    <t>150</t>
  </si>
  <si>
    <t>2.5톤, 10km</t>
  </si>
  <si>
    <t>거래가격</t>
  </si>
  <si>
    <t>38. 공기 압축기</t>
  </si>
  <si>
    <t>rt</t>
  </si>
  <si>
    <t>중도리 (PURLIN)</t>
  </si>
  <si>
    <t>74. 주입호스</t>
  </si>
  <si>
    <t>5</t>
  </si>
  <si>
    <t>22. 크레인(타이어)</t>
  </si>
  <si>
    <t>26. 크레인(타이어)</t>
  </si>
  <si>
    <t>5.0×150</t>
  </si>
  <si>
    <t>25</t>
  </si>
  <si>
    <t>V2</t>
  </si>
  <si>
    <t>이형철근(SD400)</t>
  </si>
  <si>
    <t>KSM-6080(백색,R5)</t>
  </si>
  <si>
    <t>열연후판</t>
  </si>
  <si>
    <t>샥션호스</t>
  </si>
  <si>
    <t>SS275, 300*300*10*15mm</t>
  </si>
  <si>
    <t>40. 크로울러 드릴(공기식)</t>
  </si>
  <si>
    <t>측정기용</t>
  </si>
  <si>
    <t>110</t>
  </si>
  <si>
    <t>마이크로믹서</t>
  </si>
  <si>
    <t>45kW</t>
  </si>
  <si>
    <t>자재단가</t>
  </si>
  <si>
    <t>밸브보디</t>
  </si>
  <si>
    <t>21. 플레이트 콤팩터</t>
  </si>
  <si>
    <t>유압잭(단동실린더)</t>
  </si>
  <si>
    <t>47. 오거</t>
  </si>
  <si>
    <t>ton</t>
  </si>
  <si>
    <t>65</t>
  </si>
  <si>
    <t>2.5Ton</t>
  </si>
  <si>
    <t>80</t>
  </si>
  <si>
    <t>0.05% 요율 적용</t>
  </si>
  <si>
    <t>98% (용접용) 1kg=853ℓ</t>
  </si>
  <si>
    <t>산소</t>
  </si>
  <si>
    <t>강관파일(강관말뚝)</t>
  </si>
  <si>
    <t>300Amp</t>
  </si>
  <si>
    <t>0.8㎥</t>
  </si>
  <si>
    <t>135</t>
  </si>
  <si>
    <t>형틀목공</t>
  </si>
  <si>
    <t>51. 진동파일해머</t>
  </si>
  <si>
    <t>파일천공전용장비손료</t>
  </si>
  <si>
    <t>신너(조합페인트용)</t>
  </si>
  <si>
    <t>적용</t>
  </si>
  <si>
    <t>윤활류</t>
  </si>
  <si>
    <t>40</t>
  </si>
  <si>
    <t>단위</t>
  </si>
  <si>
    <t>산소 KS E4301</t>
  </si>
  <si>
    <t>콘크리트 믹서</t>
  </si>
  <si>
    <t>40Ton</t>
  </si>
  <si>
    <t>Φ200×Φ80×750mm</t>
  </si>
  <si>
    <t>19. 타이어 로울러(자주식)</t>
  </si>
  <si>
    <t>D800mm</t>
  </si>
  <si>
    <t>64. 용접기(교류)</t>
  </si>
  <si>
    <t>오링</t>
  </si>
  <si>
    <t>아연도철선(결속선)</t>
  </si>
  <si>
    <t>규    격</t>
  </si>
  <si>
    <t>12.0톤, 140km</t>
  </si>
  <si>
    <t>M</t>
  </si>
  <si>
    <t>덤프트럭손료</t>
  </si>
  <si>
    <t>18. 진동 로울러(핸드가이드식)</t>
  </si>
  <si>
    <t>방수방식 (에피워터 E-135용)</t>
  </si>
  <si>
    <t>아스팔트페이버(피니셔)손료</t>
  </si>
  <si>
    <t>116</t>
  </si>
  <si>
    <t>소</t>
  </si>
  <si>
    <t>건설용펌프(자흡식)손료</t>
  </si>
  <si>
    <t>적용합계</t>
  </si>
  <si>
    <t>주입호스</t>
  </si>
  <si>
    <t>Φ139.8</t>
  </si>
  <si>
    <t>158</t>
  </si>
  <si>
    <t>86</t>
  </si>
  <si>
    <t>DS404816</t>
  </si>
  <si>
    <t>1/8*16/12*25/20*24/5</t>
  </si>
  <si>
    <t>63</t>
  </si>
  <si>
    <t>=</t>
  </si>
  <si>
    <t>용 접 봉</t>
  </si>
  <si>
    <t>3</t>
  </si>
  <si>
    <t>KS F 2502</t>
  </si>
  <si>
    <t>액상에폭시</t>
  </si>
  <si>
    <t>커 터손료</t>
  </si>
  <si>
    <t>156</t>
  </si>
  <si>
    <t>RSC-3</t>
  </si>
  <si>
    <t>88</t>
  </si>
  <si>
    <t>골재의밀도 및 흡수율시험(보조기층)</t>
  </si>
  <si>
    <t>철근앙카</t>
  </si>
  <si>
    <t>118</t>
  </si>
  <si>
    <t>흐름값시험(기층용)</t>
  </si>
  <si>
    <t>13. 덤프트럭</t>
  </si>
  <si>
    <t>180kg/㎠,적  색</t>
  </si>
  <si>
    <t>V4</t>
  </si>
  <si>
    <t>23</t>
  </si>
  <si>
    <t>압력감시장치</t>
  </si>
  <si>
    <t>2. 굴삭기(유압식백호)</t>
  </si>
  <si>
    <t>58. 발전기</t>
  </si>
  <si>
    <t>12.0톤, 10km</t>
  </si>
  <si>
    <t>10.3㎥/min</t>
  </si>
  <si>
    <t>도로용 접착제</t>
  </si>
  <si>
    <t>플랜트 배관공</t>
  </si>
  <si>
    <t>0.57㎥</t>
  </si>
  <si>
    <t>48</t>
  </si>
  <si>
    <t>2010(시공조인트,Box연결부)</t>
  </si>
  <si>
    <t>조합페인트</t>
  </si>
  <si>
    <t>K</t>
  </si>
  <si>
    <t>0.6㎥</t>
  </si>
  <si>
    <t>물(상수도)</t>
  </si>
  <si>
    <t>KSM-6060(2종)</t>
  </si>
  <si>
    <t>6000ℓ/병</t>
  </si>
  <si>
    <t>t6</t>
  </si>
  <si>
    <t>133</t>
  </si>
  <si>
    <t>1200×1200</t>
  </si>
  <si>
    <t>508×6t</t>
  </si>
  <si>
    <t>E</t>
  </si>
  <si>
    <t>LCT-1000(담수용)</t>
  </si>
  <si>
    <t>고  철(STS)</t>
  </si>
  <si>
    <t>27종</t>
  </si>
  <si>
    <t>구조용STS원형관</t>
  </si>
  <si>
    <t>트럭트랙터및평판트레일러</t>
  </si>
  <si>
    <t>46</t>
  </si>
  <si>
    <t>3~5mm</t>
  </si>
  <si>
    <t>적용경비</t>
  </si>
  <si>
    <t>덤프트럭</t>
  </si>
  <si>
    <t>고장력볼트너트</t>
  </si>
  <si>
    <t>시멘트</t>
  </si>
  <si>
    <t>아스팔트 스프레이어손료</t>
  </si>
  <si>
    <t>t2</t>
  </si>
  <si>
    <t>박공판넬</t>
  </si>
  <si>
    <t>2F 통로관</t>
  </si>
  <si>
    <t>139</t>
  </si>
  <si>
    <t>조인트테스트기기</t>
  </si>
  <si>
    <t>45. 보링기계</t>
  </si>
  <si>
    <t>배전판</t>
  </si>
  <si>
    <t>적용노무비</t>
  </si>
  <si>
    <t>강재천공기</t>
  </si>
  <si>
    <t>샥션호스손료</t>
  </si>
  <si>
    <t>안정도시험(표층용)</t>
  </si>
  <si>
    <t>스마트안전장비</t>
  </si>
  <si>
    <t>조</t>
  </si>
  <si>
    <t>플레이트 콤팩터</t>
  </si>
  <si>
    <t>도로표지용페인트(융착식)</t>
  </si>
  <si>
    <t>팁(날)</t>
  </si>
  <si>
    <t>8mm 2B 100m</t>
  </si>
  <si>
    <t>137</t>
  </si>
  <si>
    <t>가격정보</t>
  </si>
  <si>
    <t>L=1200mm</t>
  </si>
  <si>
    <t>용접기(교류)손료</t>
  </si>
  <si>
    <t>모래당량시험(보조기층)</t>
  </si>
  <si>
    <t>노면파쇄기</t>
  </si>
  <si>
    <t>함수비 시험(보조기층)</t>
  </si>
  <si>
    <t>42</t>
  </si>
  <si>
    <t>KSM-6080(황색,R4)</t>
  </si>
  <si>
    <t>산    출    근    거</t>
  </si>
  <si>
    <t>112</t>
  </si>
  <si>
    <t>중량 A</t>
  </si>
  <si>
    <t>규산소다</t>
  </si>
  <si>
    <t>크로울러 드릴(공기식)</t>
  </si>
  <si>
    <t>KS F 2320</t>
  </si>
  <si>
    <t>29</t>
  </si>
  <si>
    <t>9</t>
  </si>
  <si>
    <t>67</t>
  </si>
  <si>
    <t>KS F 2508</t>
  </si>
  <si>
    <t>보 링 공(지질조사)</t>
  </si>
  <si>
    <t>기계경비총괄표</t>
  </si>
  <si>
    <t>82</t>
  </si>
  <si>
    <t>70. 샥션호스</t>
  </si>
  <si>
    <t>35Ton</t>
  </si>
  <si>
    <t>152</t>
  </si>
  <si>
    <t>대기압</t>
  </si>
  <si>
    <t>머캐덤 로울러(자주식)손료</t>
  </si>
  <si>
    <t>KSM-6020 1급(백색)</t>
  </si>
  <si>
    <t>바깥층테이프</t>
  </si>
  <si>
    <t>공기 압축기</t>
  </si>
  <si>
    <t>1.</t>
  </si>
  <si>
    <t>7</t>
  </si>
  <si>
    <t>69</t>
  </si>
  <si>
    <t>27</t>
  </si>
  <si>
    <t>분</t>
  </si>
  <si>
    <t>qo</t>
  </si>
  <si>
    <t>12t×1220×2440mm</t>
  </si>
  <si>
    <t>주입기가변속</t>
  </si>
  <si>
    <t>외부판넬 (벽)</t>
  </si>
  <si>
    <t>73. 회수호스</t>
  </si>
  <si>
    <t>KS F 2398</t>
  </si>
  <si>
    <t>91</t>
  </si>
  <si>
    <t>14. 덤프트럭(자동덮개)</t>
  </si>
  <si>
    <t>산업용전력(갑)</t>
  </si>
  <si>
    <t>일반기계운전사</t>
  </si>
  <si>
    <t>74</t>
  </si>
  <si>
    <t>#467, 40mm</t>
  </si>
  <si>
    <t>76. 주입기가변속</t>
  </si>
  <si>
    <t>101</t>
  </si>
  <si>
    <t>미송각재</t>
  </si>
  <si>
    <t>Φ6mm</t>
  </si>
  <si>
    <t>56. 동력분무기</t>
  </si>
  <si>
    <t>디젤 엔진</t>
  </si>
  <si>
    <t>34</t>
  </si>
  <si>
    <t>계산결과값 자리수</t>
  </si>
  <si>
    <t>아스팔트 스프레이어</t>
  </si>
  <si>
    <t>141</t>
  </si>
  <si>
    <t>노면파쇄기용</t>
  </si>
  <si>
    <t>Φ200mm</t>
  </si>
  <si>
    <t>(</t>
  </si>
  <si>
    <t>11</t>
  </si>
  <si>
    <t>M24x70MM</t>
  </si>
  <si>
    <t>계</t>
  </si>
  <si>
    <t>현장</t>
  </si>
  <si>
    <t>km</t>
  </si>
  <si>
    <t>덤프트럭(자동덮개)덤프손료</t>
  </si>
  <si>
    <t>20×90×70×2.3t</t>
  </si>
  <si>
    <t>L2</t>
  </si>
  <si>
    <t>g</t>
  </si>
  <si>
    <t>블레이드</t>
  </si>
  <si>
    <t>철    공</t>
  </si>
  <si>
    <t>(고압A)</t>
  </si>
  <si>
    <t>164</t>
  </si>
  <si>
    <t>비</t>
  </si>
  <si>
    <t>300mm</t>
  </si>
  <si>
    <t>로우더(타이어)+소형노면파쇄기로우더(0.95㎥)손료</t>
  </si>
  <si>
    <t>품   명</t>
  </si>
  <si>
    <t>50mm×10m</t>
  </si>
  <si>
    <t>회수호스</t>
  </si>
  <si>
    <t>99% 6000ℓ(기체) 40ℓ</t>
  </si>
  <si>
    <t>다짐횟수시험(기층용)</t>
  </si>
  <si>
    <t>51</t>
  </si>
  <si>
    <t>닥타일 주철이형관</t>
  </si>
  <si>
    <t>Ø25.4, 1.5T</t>
  </si>
  <si>
    <t>9.0 &lt; t</t>
  </si>
  <si>
    <t>진동 로울러(핸드가이드식)손료</t>
  </si>
  <si>
    <t>124</t>
  </si>
  <si>
    <t>포</t>
  </si>
  <si>
    <t>180kg/㎠,적갈색</t>
  </si>
  <si>
    <t>노면파쇄기손료</t>
  </si>
  <si>
    <t>체가름시험(보조기층)</t>
  </si>
  <si>
    <t>꺽    쇠</t>
  </si>
  <si>
    <t>하차비</t>
  </si>
  <si>
    <t>1.5*0.9*0.41</t>
  </si>
  <si>
    <t>,</t>
  </si>
  <si>
    <t>31. 아스팔트페이버(피니셔)</t>
  </si>
  <si>
    <t>15</t>
  </si>
  <si>
    <t>27. 크레인(타이어)</t>
  </si>
  <si>
    <t>포 설 공</t>
  </si>
  <si>
    <t>23. 크레인(타이어)</t>
  </si>
  <si>
    <t>Φ800</t>
  </si>
  <si>
    <t>1200×2400</t>
  </si>
  <si>
    <t>프랜져</t>
  </si>
  <si>
    <t>HDPE 이중벽관</t>
  </si>
  <si>
    <t>안쪽층테이프</t>
  </si>
  <si>
    <t>160</t>
  </si>
  <si>
    <t>M22x70MM</t>
  </si>
  <si>
    <t>콘크리트 펌프차</t>
  </si>
  <si>
    <t>주연료의</t>
  </si>
  <si>
    <t>55</t>
  </si>
  <si>
    <t>그라우팅 믹서</t>
  </si>
  <si>
    <t>KS F 2312</t>
  </si>
  <si>
    <t>코아채취(혼합물의포설)</t>
  </si>
  <si>
    <t>제트브로치</t>
  </si>
  <si>
    <t>밸브스프링</t>
  </si>
  <si>
    <t>GPR탐사</t>
  </si>
  <si>
    <t>1. 불도우저(무한궤도)</t>
  </si>
  <si>
    <t>m</t>
  </si>
  <si>
    <t>중급품질관리기술인</t>
  </si>
  <si>
    <t>120</t>
  </si>
  <si>
    <t>kg</t>
  </si>
  <si>
    <t>초급숙련기술자</t>
  </si>
  <si>
    <t>70</t>
  </si>
  <si>
    <t>To</t>
  </si>
  <si>
    <t>견적</t>
  </si>
  <si>
    <t>연 마 지</t>
  </si>
  <si>
    <t>0.95㎥</t>
  </si>
  <si>
    <t>95</t>
  </si>
  <si>
    <t>견적단가</t>
  </si>
  <si>
    <t>105</t>
  </si>
  <si>
    <t>원</t>
  </si>
  <si>
    <t>추진공(본선부)</t>
  </si>
  <si>
    <t>청테이프</t>
  </si>
  <si>
    <t>KS F 2337</t>
  </si>
  <si>
    <t>모  터손료</t>
  </si>
  <si>
    <t>450kW</t>
  </si>
  <si>
    <t>에폭시프라이머</t>
  </si>
  <si>
    <t>30</t>
  </si>
  <si>
    <t>단가산출</t>
  </si>
  <si>
    <t>초기점검 비용</t>
  </si>
  <si>
    <t>55. 물탱크</t>
  </si>
  <si>
    <t>재료비</t>
  </si>
  <si>
    <t>코어리프터</t>
  </si>
  <si>
    <t>고장력볼트</t>
  </si>
  <si>
    <t>KS F 2511</t>
  </si>
  <si>
    <t>재료비</t>
  </si>
  <si>
    <t>145</t>
  </si>
  <si>
    <t>개</t>
  </si>
  <si>
    <t>T</t>
  </si>
  <si>
    <t>천정판 (CEILING)</t>
  </si>
  <si>
    <t>본선부 계측공</t>
  </si>
  <si>
    <t>53</t>
  </si>
  <si>
    <t>168</t>
  </si>
  <si>
    <t>57. 라인마커</t>
  </si>
  <si>
    <t>1/8*16/12*25/20*24/15</t>
  </si>
  <si>
    <t>당초합계</t>
  </si>
  <si>
    <t>현장밀도 시험(보조기층)</t>
  </si>
  <si>
    <t>126</t>
  </si>
  <si>
    <t>머캐덤 로울러(자주식)</t>
  </si>
  <si>
    <t>계산값</t>
  </si>
  <si>
    <t>700*1000</t>
  </si>
  <si>
    <t>13</t>
  </si>
  <si>
    <t>브이패킹</t>
  </si>
  <si>
    <t>9. 대형브레이카</t>
  </si>
  <si>
    <t>SPAN:L=7.2</t>
  </si>
  <si>
    <t>128</t>
  </si>
  <si>
    <t>회</t>
  </si>
  <si>
    <t>수팽창성고무지수재</t>
  </si>
  <si>
    <t>166</t>
  </si>
  <si>
    <t>회</t>
  </si>
  <si>
    <t>2005(관슬리브)</t>
  </si>
  <si>
    <t>KS F 2354</t>
  </si>
  <si>
    <t>기계경비적용기준</t>
  </si>
  <si>
    <t>46. 보링기계</t>
  </si>
  <si>
    <t>세 척 제</t>
  </si>
  <si>
    <t>모 래, 도착도</t>
  </si>
  <si>
    <t>24Ton</t>
  </si>
  <si>
    <t>SET</t>
  </si>
  <si>
    <t>36</t>
  </si>
  <si>
    <t>78. 삼조교반장치</t>
  </si>
  <si>
    <t>램  머손료</t>
  </si>
  <si>
    <t>80kg</t>
  </si>
  <si>
    <t>로우더(타이어)손료</t>
  </si>
  <si>
    <t>78</t>
  </si>
  <si>
    <t>RD탐사</t>
  </si>
  <si>
    <t>기타 직종</t>
  </si>
  <si>
    <t>143</t>
  </si>
  <si>
    <t>3.5㎥/min</t>
  </si>
  <si>
    <t>프로판가스</t>
  </si>
  <si>
    <t>Φ139.8×4.5×2200</t>
  </si>
  <si>
    <t>93</t>
  </si>
  <si>
    <t>76</t>
  </si>
  <si>
    <t>16mm(아연도금)</t>
  </si>
  <si>
    <t>38</t>
  </si>
  <si>
    <t>사토장</t>
  </si>
  <si>
    <t>103</t>
  </si>
  <si>
    <t>50ton×50mm,SET</t>
  </si>
  <si>
    <t>39. 공기 압축기</t>
  </si>
  <si>
    <t>고급품질관리원</t>
  </si>
  <si>
    <t>당초경비</t>
  </si>
  <si>
    <t>체가름 시험(기층용)</t>
  </si>
  <si>
    <t>32</t>
  </si>
  <si>
    <t>65. 건설용펌프(자흡식)</t>
  </si>
  <si>
    <t>저수탱크손료</t>
  </si>
  <si>
    <t>Φ1000mm(Φ800mm), L=268.0m</t>
  </si>
  <si>
    <t>D/M</t>
  </si>
  <si>
    <t>109</t>
  </si>
  <si>
    <t>보링기계손료</t>
  </si>
  <si>
    <t>지주목(이각)</t>
  </si>
  <si>
    <t>G50</t>
  </si>
  <si>
    <t>147</t>
  </si>
  <si>
    <t>99</t>
  </si>
  <si>
    <t>와이어로프(철심)</t>
  </si>
  <si>
    <t>일반산소용 호스</t>
  </si>
  <si>
    <t>달러($)</t>
  </si>
  <si>
    <t>명    칭</t>
  </si>
  <si>
    <t>72</t>
  </si>
  <si>
    <t>유리알</t>
  </si>
  <si>
    <t>합</t>
  </si>
  <si>
    <t>40.5×150m</t>
  </si>
  <si>
    <t>쉬트파일지수재</t>
  </si>
  <si>
    <t>외송각재</t>
  </si>
  <si>
    <t>판넬조인트</t>
  </si>
  <si>
    <t>149</t>
  </si>
  <si>
    <t>97</t>
  </si>
  <si>
    <t>3호</t>
  </si>
  <si>
    <t>주입기가변속손료</t>
  </si>
  <si>
    <t>6. 굴삭기(유압식백호)</t>
  </si>
  <si>
    <t>Φ300mm</t>
  </si>
  <si>
    <t>Ton</t>
  </si>
  <si>
    <t>107</t>
  </si>
  <si>
    <t>현장입구</t>
  </si>
  <si>
    <t>구역화물</t>
  </si>
  <si>
    <t>⊙</t>
  </si>
  <si>
    <t>1/8*16/12*25/20</t>
  </si>
  <si>
    <t>물탱크손료</t>
  </si>
  <si>
    <t>˚</t>
  </si>
  <si>
    <t>57</t>
  </si>
  <si>
    <t>저수탱크</t>
  </si>
  <si>
    <t>당초노무비</t>
  </si>
  <si>
    <t>Φ16*33</t>
  </si>
  <si>
    <t>㎥</t>
  </si>
  <si>
    <t>3800ℓ</t>
  </si>
  <si>
    <t>마이크로믹서손료</t>
  </si>
  <si>
    <t>D80mm</t>
  </si>
  <si>
    <t>19</t>
  </si>
  <si>
    <t>㎥</t>
  </si>
  <si>
    <t>50. 진동파일해머</t>
  </si>
  <si>
    <t>크 레 용</t>
  </si>
  <si>
    <t>G35</t>
  </si>
  <si>
    <t>122</t>
  </si>
  <si>
    <t>더블쉬벨</t>
  </si>
  <si>
    <t>SF403038</t>
  </si>
  <si>
    <t>0.03% 요율 적용</t>
  </si>
  <si>
    <t>마모 시험(보조기층)</t>
  </si>
  <si>
    <t>63. 발전기</t>
  </si>
  <si>
    <t>Φ16mm</t>
  </si>
  <si>
    <t>가드레일(취부볼트)</t>
  </si>
  <si>
    <t>17</t>
  </si>
  <si>
    <t>마르크(M)</t>
  </si>
  <si>
    <t>산업용(갑)</t>
  </si>
  <si>
    <t>40kW</t>
  </si>
  <si>
    <t>그라스배드</t>
  </si>
  <si>
    <t>가드레일(연결볼트)</t>
  </si>
  <si>
    <t>2.</t>
  </si>
  <si>
    <t>#120 (9"*11")</t>
  </si>
  <si>
    <t>㎡</t>
  </si>
  <si>
    <t>59</t>
  </si>
  <si>
    <t>hr</t>
  </si>
  <si>
    <t>톱 찬 넬</t>
  </si>
  <si>
    <t>162</t>
  </si>
  <si>
    <t>hr</t>
  </si>
  <si>
    <t>:</t>
  </si>
  <si>
    <t>6mm</t>
  </si>
  <si>
    <t>64</t>
  </si>
  <si>
    <t>매</t>
  </si>
  <si>
    <t>Lo</t>
  </si>
  <si>
    <t>유통물가</t>
  </si>
  <si>
    <t>81</t>
  </si>
  <si>
    <t>로우더(타이어)+소형노면파쇄기</t>
  </si>
  <si>
    <t>111</t>
  </si>
  <si>
    <t>SF303048</t>
  </si>
  <si>
    <t>밸브시트</t>
  </si>
  <si>
    <t>드라이브파이프</t>
  </si>
  <si>
    <t>적</t>
  </si>
  <si>
    <t>보 링 공</t>
  </si>
  <si>
    <t>V3</t>
  </si>
  <si>
    <t>14"×3.2mm</t>
  </si>
  <si>
    <t>보링기계</t>
  </si>
  <si>
    <t>PE안전휀스</t>
  </si>
  <si>
    <t>(갈산리 583-13번지)</t>
  </si>
  <si>
    <t>24</t>
  </si>
  <si>
    <t>탄산분필</t>
  </si>
  <si>
    <t>합판(내수)</t>
  </si>
  <si>
    <t>32Ton</t>
  </si>
  <si>
    <t>배 관 공(수도)</t>
  </si>
  <si>
    <t>진동 로울러(핸드가이드식)</t>
  </si>
  <si>
    <t>Es</t>
  </si>
  <si>
    <t>동력분무기손료</t>
  </si>
  <si>
    <t>151</t>
  </si>
  <si>
    <t>RSC-4</t>
  </si>
  <si>
    <t>아스팔트 디스트리뷰터</t>
  </si>
  <si>
    <t>30×30×3600mm</t>
  </si>
  <si>
    <t>4</t>
  </si>
  <si>
    <t>노임단가</t>
  </si>
  <si>
    <t>규   격</t>
  </si>
  <si>
    <t>덤프트럭(자동덮개)</t>
  </si>
  <si>
    <t>모래질흙평균</t>
  </si>
  <si>
    <t>t1</t>
  </si>
  <si>
    <t>3720×584×1.6T</t>
  </si>
  <si>
    <t>가드레일(지주)</t>
  </si>
  <si>
    <t>용접기(교류)</t>
  </si>
  <si>
    <t>L</t>
  </si>
  <si>
    <t>D=22mm</t>
  </si>
  <si>
    <t>2024년(건설)</t>
  </si>
  <si>
    <t>(0.7㎥)</t>
  </si>
  <si>
    <t>11. 덤프트럭</t>
  </si>
  <si>
    <t>0.75kW</t>
  </si>
  <si>
    <t>25Ton</t>
  </si>
  <si>
    <t>갈매기표지판(양면)</t>
  </si>
  <si>
    <t>ℓ</t>
  </si>
  <si>
    <t>주입용</t>
  </si>
  <si>
    <t>Φ1200</t>
  </si>
  <si>
    <t>트럭탑재형크레인손료</t>
  </si>
  <si>
    <t>41</t>
  </si>
  <si>
    <t>D6MM</t>
  </si>
  <si>
    <t>식</t>
  </si>
  <si>
    <t>KS F 2306</t>
  </si>
  <si>
    <t>도 장 공</t>
  </si>
  <si>
    <t>134</t>
  </si>
  <si>
    <t>0.5T, 칼라C/S</t>
  </si>
  <si>
    <t>치  즐(0.7㎥)</t>
  </si>
  <si>
    <t>Φ19*180(PIPE용)</t>
  </si>
  <si>
    <t>36. 콘크리트 펌프차</t>
  </si>
  <si>
    <t>H</t>
  </si>
  <si>
    <t>DS방현망완자부</t>
  </si>
  <si>
    <t>1/8*16/12*25/20*14/12</t>
  </si>
  <si>
    <t>71. 강재천공기</t>
  </si>
  <si>
    <t>10~12Ton</t>
  </si>
  <si>
    <t>400ℓ</t>
  </si>
  <si>
    <t>t5</t>
  </si>
  <si>
    <t>62. 발전기</t>
  </si>
  <si>
    <t>90x90x10  13.30KG/M</t>
  </si>
  <si>
    <t>24. 크레인(타이어)</t>
  </si>
  <si>
    <t>33. 아스팔트 스프레이어</t>
  </si>
  <si>
    <t>드라이브파이프슈</t>
  </si>
  <si>
    <t>28. 크레인(타이어)</t>
  </si>
  <si>
    <t>적용단가</t>
  </si>
  <si>
    <t>45</t>
  </si>
  <si>
    <t>D19MM</t>
  </si>
  <si>
    <t>안전관리 계획서 재검토비</t>
  </si>
  <si>
    <t>골재의0.08mm체통과량시험(보조기층)</t>
  </si>
  <si>
    <t>착 암 공</t>
  </si>
  <si>
    <t>30. 트럭트랙터및평판트레일러</t>
  </si>
  <si>
    <t>미끄럼방지용</t>
  </si>
  <si>
    <t>130</t>
  </si>
  <si>
    <t>소 창 직</t>
  </si>
  <si>
    <t>동력분무기</t>
  </si>
  <si>
    <t>35. 커 터</t>
  </si>
  <si>
    <t>0.7Ton</t>
  </si>
  <si>
    <t>2024년(상)</t>
  </si>
  <si>
    <t>150mm</t>
  </si>
  <si>
    <t>85</t>
  </si>
  <si>
    <t>×</t>
  </si>
  <si>
    <t>q</t>
  </si>
  <si>
    <t>4. 굴삭기(유압식백호)</t>
  </si>
  <si>
    <t>노무비</t>
  </si>
  <si>
    <t>석분(충진제)</t>
  </si>
  <si>
    <t>다짐시험(되메우기)</t>
  </si>
  <si>
    <t>60</t>
  </si>
  <si>
    <t>M22*65mm</t>
  </si>
  <si>
    <t>비트</t>
  </si>
  <si>
    <t>50kW</t>
  </si>
  <si>
    <t>319퍼티,회색</t>
  </si>
  <si>
    <t>115</t>
  </si>
  <si>
    <t>다이아 코어비트</t>
  </si>
  <si>
    <t>주주캡</t>
  </si>
  <si>
    <t>퍼  티</t>
  </si>
  <si>
    <t>대형브레이카굴삭기손료</t>
  </si>
  <si>
    <t>칼라투수콘(보도용)</t>
  </si>
  <si>
    <t>320~400mm</t>
  </si>
  <si>
    <t>플랜지</t>
  </si>
  <si>
    <t>20</t>
  </si>
  <si>
    <t>KS F 2367</t>
  </si>
  <si>
    <t>경  비 소수 1 미만 절하</t>
  </si>
  <si>
    <t>100kW</t>
  </si>
  <si>
    <t>20. 램  머</t>
  </si>
  <si>
    <t>page</t>
  </si>
  <si>
    <t>삼조교반장치</t>
  </si>
  <si>
    <t>역청함유량시험(표층용)</t>
  </si>
  <si>
    <t>STS냉연강판(STS304 2B)</t>
  </si>
  <si>
    <t>60×30×10×2.3t</t>
  </si>
  <si>
    <t>155</t>
  </si>
  <si>
    <t>77. 유량압력측정</t>
  </si>
  <si>
    <t>램  머</t>
  </si>
  <si>
    <t>44. 마이크로믹서</t>
  </si>
  <si>
    <t>0.4㎥</t>
  </si>
  <si>
    <t>43</t>
  </si>
  <si>
    <t>89.52kW</t>
  </si>
  <si>
    <t>메탈크라운비트</t>
  </si>
  <si>
    <t>망간건전지</t>
  </si>
  <si>
    <t>덤프트럭(자동덮개)손료</t>
  </si>
  <si>
    <t>136</t>
  </si>
  <si>
    <t>138</t>
  </si>
  <si>
    <t>sec</t>
  </si>
  <si>
    <t>t3</t>
  </si>
  <si>
    <t>환 율 (/￦)</t>
  </si>
  <si>
    <t>0.381mm×100mm×30m</t>
  </si>
  <si>
    <t>+굴삭기(0.7㎥)</t>
  </si>
  <si>
    <t>안정도시험(기층용)</t>
  </si>
  <si>
    <t>60×1000m</t>
  </si>
  <si>
    <t>공기변실 환기구</t>
  </si>
  <si>
    <t>내부판넬 (벽)</t>
  </si>
  <si>
    <t>SS403816</t>
  </si>
  <si>
    <t>10(-7)</t>
  </si>
  <si>
    <t>26</t>
  </si>
  <si>
    <t>V1</t>
  </si>
  <si>
    <t>두께(혼합물의포설)</t>
  </si>
  <si>
    <t>상차비</t>
  </si>
  <si>
    <t>로우더(타이어)</t>
  </si>
  <si>
    <t>11.19kW</t>
  </si>
  <si>
    <t>153</t>
  </si>
  <si>
    <t>산    소</t>
  </si>
  <si>
    <t>작업반장</t>
  </si>
  <si>
    <t>400x150  x13.0㎜  60.0kg/ｍ</t>
  </si>
  <si>
    <t>베이스찬넬</t>
  </si>
  <si>
    <t>트러스 (TRUSS)</t>
  </si>
  <si>
    <t>디젤 엔진손료</t>
  </si>
  <si>
    <t>6</t>
  </si>
  <si>
    <t>68</t>
  </si>
  <si>
    <t>15kg/can</t>
  </si>
  <si>
    <t>와이어크립(단조)</t>
  </si>
  <si>
    <t>도로표지병(양면)</t>
  </si>
  <si>
    <t>150kW</t>
  </si>
  <si>
    <t>외부판넬 (철재문)</t>
  </si>
  <si>
    <t>8</t>
  </si>
  <si>
    <t>66</t>
  </si>
  <si>
    <t>압력감시장치손료</t>
  </si>
  <si>
    <t>17.0㎥/min</t>
  </si>
  <si>
    <t>사토장정리</t>
  </si>
  <si>
    <t>인</t>
  </si>
  <si>
    <t>83</t>
  </si>
  <si>
    <t>113</t>
  </si>
  <si>
    <t>드라이브파이프헤드</t>
  </si>
  <si>
    <t>50mm</t>
  </si>
  <si>
    <t>쇄석골재, 도착도</t>
  </si>
  <si>
    <t>28</t>
  </si>
  <si>
    <t>DCB 5"(127mm)</t>
  </si>
  <si>
    <t>아스팔트 디스트리뷰터손료</t>
  </si>
  <si>
    <t>119</t>
  </si>
  <si>
    <t>54. 물탱크</t>
  </si>
  <si>
    <t>48. 진동파일해머</t>
  </si>
  <si>
    <t>원주목Φ55, L=1,500</t>
  </si>
  <si>
    <t>95×125×3.2mm</t>
  </si>
  <si>
    <t>22</t>
  </si>
  <si>
    <t>강모래</t>
  </si>
  <si>
    <t>오거손료</t>
  </si>
  <si>
    <t>SS275, 250*250*9*14mm</t>
  </si>
  <si>
    <t>2</t>
  </si>
  <si>
    <t>안전관리 계획서 검토비</t>
  </si>
  <si>
    <t>KS F 2503</t>
  </si>
  <si>
    <t>G40</t>
  </si>
  <si>
    <t>157</t>
  </si>
  <si>
    <t>89</t>
  </si>
  <si>
    <t>물가자료</t>
  </si>
  <si>
    <t>159</t>
  </si>
  <si>
    <t>87</t>
  </si>
  <si>
    <t>도로표지용페인트(수용성)</t>
  </si>
  <si>
    <t>플랜지접합부속</t>
  </si>
  <si>
    <t>62</t>
  </si>
  <si>
    <t>8Ton</t>
  </si>
  <si>
    <t>53. 파일천공전용장비</t>
  </si>
  <si>
    <t>재</t>
  </si>
  <si>
    <t>품     명</t>
  </si>
  <si>
    <t>흐름값시험(표층용)</t>
  </si>
  <si>
    <t>로우더(타이어)+소형노면파쇄기소형노면파쇄기(0.95㎥</t>
  </si>
  <si>
    <t>합    계</t>
  </si>
  <si>
    <t>117</t>
  </si>
  <si>
    <t>D=16mm</t>
  </si>
  <si>
    <t>모  터</t>
  </si>
  <si>
    <t>싱글코아바렐</t>
  </si>
  <si>
    <t>라인마커손료</t>
  </si>
  <si>
    <t>47</t>
  </si>
  <si>
    <t>탠덤 로울러(자주식)</t>
  </si>
  <si>
    <t>5~8Ton</t>
  </si>
  <si>
    <t>1.5Ton</t>
  </si>
  <si>
    <t>타이어 로울러(자주식)</t>
  </si>
  <si>
    <t>'24年 개정</t>
  </si>
  <si>
    <t>132</t>
  </si>
  <si>
    <t>제강슬래그</t>
  </si>
  <si>
    <t>8~15Ton</t>
  </si>
  <si>
    <t>산   출   근   거</t>
  </si>
  <si>
    <t>TS판넬(사각기초)</t>
  </si>
  <si>
    <t>지붕판 (ROOF SHEET)</t>
  </si>
  <si>
    <t>79. 압력감시장치</t>
  </si>
  <si>
    <t>커 터</t>
  </si>
  <si>
    <t>아세칠렌</t>
  </si>
  <si>
    <t>당초재료비</t>
  </si>
  <si>
    <t>콘크리트공</t>
  </si>
  <si>
    <t>미송대패가공목재(㎥)</t>
  </si>
  <si>
    <t>유량압력측정</t>
  </si>
  <si>
    <t>KWH</t>
  </si>
  <si>
    <t>D200mm</t>
  </si>
  <si>
    <t>융착식 프라이머</t>
  </si>
  <si>
    <t>20Ton</t>
  </si>
  <si>
    <t>반</t>
  </si>
  <si>
    <t>M/T</t>
  </si>
  <si>
    <t>STS못</t>
  </si>
  <si>
    <t>KS F 2340</t>
  </si>
  <si>
    <t>3.</t>
  </si>
  <si>
    <t>다짐 시험(보조기층)</t>
  </si>
  <si>
    <t>3. 굴삭기(유압식백호)</t>
  </si>
  <si>
    <t>파운드(L)</t>
  </si>
  <si>
    <t/>
  </si>
  <si>
    <t>49</t>
  </si>
  <si>
    <t>유용토 운반(토사)(덤프24톤+백호0.7㎥)[㎥]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</si>
</sst>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9" formatCode="#,##0.0########"/>
    <numFmt numFmtId="180" formatCode="#,##0.##"/>
    <numFmt numFmtId="181" formatCode="#,##0.#######"/>
  </numFmts>
  <fonts count="7" x14ac:knownFonts="1">
    <font>
      <sz val="10"/>
      <color indexed="8"/>
      <name val="Arial"/>
      <family val="2"/>
    </font>
    <font>
      <b/>
      <sz val="20"/>
      <color indexed="8"/>
      <name val="Arial"/>
      <family val="2"/>
    </font>
    <font>
      <b/>
      <sz val="9"/>
      <color indexed="8"/>
      <name val="굴림체"/>
      <family val="3"/>
    </font>
    <font>
      <sz val="9"/>
      <color indexed="8"/>
      <name val="굴림체"/>
      <family val="3"/>
    </font>
    <font>
      <b/>
      <sz val="13"/>
      <color indexed="8"/>
      <name val="Arial"/>
      <family val="2"/>
    </font>
    <font>
      <sz val="8"/>
      <name val="돋움"/>
      <family val="3"/>
      <charset val="129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0"/>
      </bottom>
      <diagonal/>
    </border>
    <border>
      <left style="hair">
        <color indexed="64"/>
      </left>
      <right style="hair">
        <color indexed="64"/>
      </right>
      <top/>
      <bottom style="thin">
        <color indexed="0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0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0" fillId="0" borderId="0" xfId="0" applyNumberFormat="1"/>
    <xf numFmtId="3" fontId="3" fillId="0" borderId="14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left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horizontal="left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left" vertical="center"/>
    </xf>
    <xf numFmtId="3" fontId="3" fillId="0" borderId="18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0" xfId="0" applyBorder="1"/>
    <xf numFmtId="179" fontId="0" fillId="0" borderId="20" xfId="0" applyNumberFormat="1" applyBorder="1"/>
    <xf numFmtId="0" fontId="0" fillId="0" borderId="21" xfId="0" applyBorder="1"/>
    <xf numFmtId="0" fontId="0" fillId="0" borderId="20" xfId="0" applyBorder="1" applyAlignment="1">
      <alignment horizontal="center"/>
    </xf>
    <xf numFmtId="3" fontId="0" fillId="0" borderId="20" xfId="0" applyNumberFormat="1" applyBorder="1" applyAlignment="1">
      <alignment horizontal="right"/>
    </xf>
    <xf numFmtId="3" fontId="0" fillId="0" borderId="20" xfId="0" applyNumberFormat="1" applyBorder="1"/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3" fontId="2" fillId="0" borderId="14" xfId="0" applyNumberFormat="1" applyFont="1" applyBorder="1" applyAlignment="1">
      <alignment horizontal="left" vertical="center"/>
    </xf>
    <xf numFmtId="3" fontId="2" fillId="0" borderId="15" xfId="0" applyNumberFormat="1" applyFont="1" applyBorder="1" applyAlignment="1">
      <alignment horizontal="left" vertical="center"/>
    </xf>
    <xf numFmtId="3" fontId="3" fillId="0" borderId="25" xfId="0" applyNumberFormat="1" applyFont="1" applyBorder="1" applyAlignment="1">
      <alignment vertical="center"/>
    </xf>
    <xf numFmtId="3" fontId="3" fillId="0" borderId="18" xfId="0" applyNumberFormat="1" applyFont="1" applyBorder="1" applyAlignment="1">
      <alignment horizontal="right" vertical="center"/>
    </xf>
    <xf numFmtId="3" fontId="3" fillId="0" borderId="15" xfId="0" applyNumberFormat="1" applyFont="1" applyBorder="1" applyAlignment="1">
      <alignment horizontal="right" vertical="center"/>
    </xf>
    <xf numFmtId="3" fontId="3" fillId="0" borderId="16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horizontal="left" vertical="center"/>
    </xf>
    <xf numFmtId="180" fontId="3" fillId="0" borderId="15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horizontal="left" vertical="center"/>
    </xf>
    <xf numFmtId="3" fontId="3" fillId="0" borderId="9" xfId="0" applyNumberFormat="1" applyFont="1" applyBorder="1" applyAlignment="1">
      <alignment horizontal="right" vertical="center"/>
    </xf>
    <xf numFmtId="180" fontId="3" fillId="0" borderId="10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horizontal="left" vertical="center"/>
    </xf>
    <xf numFmtId="3" fontId="2" fillId="0" borderId="10" xfId="0" applyNumberFormat="1" applyFont="1" applyBorder="1" applyAlignment="1">
      <alignment horizontal="left" vertical="center"/>
    </xf>
    <xf numFmtId="3" fontId="3" fillId="0" borderId="10" xfId="0" applyNumberFormat="1" applyFont="1" applyBorder="1" applyAlignment="1">
      <alignment horizontal="right" vertical="center"/>
    </xf>
    <xf numFmtId="3" fontId="3" fillId="0" borderId="16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181" fontId="2" fillId="0" borderId="6" xfId="0" applyNumberFormat="1" applyFont="1" applyBorder="1" applyAlignment="1">
      <alignment horizontal="center" vertical="center"/>
    </xf>
    <xf numFmtId="181" fontId="2" fillId="0" borderId="31" xfId="0" applyNumberFormat="1" applyFont="1" applyBorder="1" applyAlignment="1">
      <alignment horizontal="center" vertical="center"/>
    </xf>
    <xf numFmtId="181" fontId="3" fillId="0" borderId="4" xfId="0" applyNumberFormat="1" applyFont="1" applyBorder="1" applyAlignment="1">
      <alignment vertical="center"/>
    </xf>
    <xf numFmtId="181" fontId="3" fillId="0" borderId="0" xfId="0" applyNumberFormat="1" applyFont="1" applyAlignment="1">
      <alignment vertical="center"/>
    </xf>
    <xf numFmtId="181" fontId="2" fillId="0" borderId="4" xfId="0" applyNumberFormat="1" applyFont="1" applyBorder="1" applyAlignment="1">
      <alignment horizontal="left" vertical="center"/>
    </xf>
    <xf numFmtId="3" fontId="2" fillId="0" borderId="32" xfId="0" applyNumberFormat="1" applyFont="1" applyBorder="1" applyAlignment="1">
      <alignment horizontal="right" vertical="center"/>
    </xf>
    <xf numFmtId="3" fontId="2" fillId="0" borderId="29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81" fontId="3" fillId="0" borderId="32" xfId="0" applyNumberFormat="1" applyFont="1" applyBorder="1" applyAlignment="1">
      <alignment horizontal="right" vertical="center"/>
    </xf>
    <xf numFmtId="181" fontId="3" fillId="0" borderId="29" xfId="0" applyNumberFormat="1" applyFont="1" applyBorder="1" applyAlignment="1">
      <alignment horizontal="right" vertical="center"/>
    </xf>
    <xf numFmtId="3" fontId="3" fillId="0" borderId="32" xfId="0" applyNumberFormat="1" applyFont="1" applyBorder="1" applyAlignment="1">
      <alignment horizontal="right" vertical="center"/>
    </xf>
    <xf numFmtId="181" fontId="2" fillId="0" borderId="4" xfId="0" applyNumberFormat="1" applyFont="1" applyBorder="1" applyAlignment="1">
      <alignment vertical="center"/>
    </xf>
    <xf numFmtId="181" fontId="2" fillId="0" borderId="0" xfId="0" applyNumberFormat="1" applyFont="1" applyAlignment="1">
      <alignment vertical="center"/>
    </xf>
    <xf numFmtId="181" fontId="2" fillId="0" borderId="32" xfId="0" applyNumberFormat="1" applyFont="1" applyBorder="1" applyAlignment="1">
      <alignment horizontal="right" vertical="center"/>
    </xf>
    <xf numFmtId="181" fontId="2" fillId="0" borderId="29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/>
    <xf numFmtId="181" fontId="2" fillId="0" borderId="40" xfId="0" applyNumberFormat="1" applyFont="1" applyBorder="1" applyAlignment="1">
      <alignment horizontal="center" vertical="center"/>
    </xf>
    <xf numFmtId="181" fontId="2" fillId="0" borderId="33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181" fontId="3" fillId="0" borderId="25" xfId="0" applyNumberFormat="1" applyFont="1" applyBorder="1" applyAlignment="1">
      <alignment vertical="center"/>
    </xf>
    <xf numFmtId="181" fontId="3" fillId="0" borderId="1" xfId="0" applyNumberFormat="1" applyFont="1" applyBorder="1" applyAlignment="1">
      <alignment vertical="center"/>
    </xf>
    <xf numFmtId="180" fontId="3" fillId="0" borderId="25" xfId="0" applyNumberFormat="1" applyFont="1" applyBorder="1" applyAlignment="1">
      <alignment vertical="center"/>
    </xf>
    <xf numFmtId="180" fontId="3" fillId="0" borderId="1" xfId="0" applyNumberFormat="1" applyFont="1" applyBorder="1" applyAlignment="1">
      <alignment vertical="center"/>
    </xf>
    <xf numFmtId="3" fontId="2" fillId="0" borderId="33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2" fillId="0" borderId="37" xfId="0" applyNumberFormat="1" applyFont="1" applyBorder="1" applyAlignment="1">
      <alignment horizontal="center" vertical="center"/>
    </xf>
    <xf numFmtId="3" fontId="2" fillId="0" borderId="38" xfId="0" applyNumberFormat="1" applyFont="1" applyBorder="1" applyAlignment="1">
      <alignment horizontal="center" vertical="center"/>
    </xf>
    <xf numFmtId="3" fontId="2" fillId="0" borderId="39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34" xfId="0" applyNumberFormat="1" applyFont="1" applyBorder="1" applyAlignment="1">
      <alignment horizontal="center" vertical="center"/>
    </xf>
    <xf numFmtId="3" fontId="2" fillId="0" borderId="35" xfId="0" applyNumberFormat="1" applyFont="1" applyBorder="1" applyAlignment="1">
      <alignment horizontal="center" vertical="center"/>
    </xf>
    <xf numFmtId="3" fontId="2" fillId="0" borderId="28" xfId="0" applyNumberFormat="1" applyFont="1" applyBorder="1" applyAlignment="1">
      <alignment horizontal="center" vertical="center"/>
    </xf>
    <xf numFmtId="3" fontId="2" fillId="0" borderId="36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F2125-30AC-4117-AB60-0A97F3EA9F66}">
  <sheetPr>
    <tabColor rgb="FFFFFF00"/>
  </sheetPr>
  <dimension ref="B1:DB74"/>
  <sheetViews>
    <sheetView tabSelected="1" zoomScale="115" zoomScaleNormal="115" workbookViewId="0">
      <pane ySplit="3" topLeftCell="A4" activePane="bottomLeft" state="frozen"/>
      <selection pane="bottomLeft" activeCell="L7" sqref="L7"/>
    </sheetView>
  </sheetViews>
  <sheetFormatPr defaultRowHeight="12.75" x14ac:dyDescent="0.2"/>
  <cols>
    <col min="1" max="1" width="0.7109375" customWidth="1"/>
    <col min="2" max="7" width="1" customWidth="1"/>
    <col min="8" max="20" width="2.42578125" customWidth="1"/>
    <col min="21" max="29" width="1.5703125" customWidth="1"/>
    <col min="30" max="101" width="1" customWidth="1"/>
    <col min="102" max="102" width="12" customWidth="1"/>
    <col min="103" max="103" width="10.5703125" customWidth="1"/>
    <col min="104" max="105" width="10.140625" customWidth="1"/>
  </cols>
  <sheetData>
    <row r="1" spans="2:106" ht="24.95" customHeight="1" x14ac:dyDescent="0.2">
      <c r="B1" s="84" t="s">
        <v>587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</row>
    <row r="2" spans="2:106" ht="9.9499999999999993" customHeight="1" x14ac:dyDescent="0.2"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</row>
    <row r="3" spans="2:106" ht="27.95" customHeight="1" x14ac:dyDescent="0.2">
      <c r="B3" s="86" t="s">
        <v>458</v>
      </c>
      <c r="C3" s="87" t="s">
        <v>925</v>
      </c>
      <c r="D3" s="87" t="s">
        <v>815</v>
      </c>
      <c r="E3" s="87" t="s">
        <v>590</v>
      </c>
      <c r="F3" s="87" t="s">
        <v>70</v>
      </c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67" t="s">
        <v>925</v>
      </c>
      <c r="CY3" s="67" t="s">
        <v>815</v>
      </c>
      <c r="CZ3" s="67" t="s">
        <v>590</v>
      </c>
      <c r="DA3" s="68" t="s">
        <v>70</v>
      </c>
    </row>
    <row r="4" spans="2:106" ht="11.25" customHeight="1" x14ac:dyDescent="0.2">
      <c r="B4" s="71" t="s">
        <v>964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2">
        <f>CX72</f>
        <v>5794</v>
      </c>
      <c r="CY4" s="72" t="str">
        <f>CY72</f>
        <v>2,854</v>
      </c>
      <c r="CZ4" s="72" t="str">
        <f>CZ72</f>
        <v>1,376</v>
      </c>
      <c r="DA4" s="73" t="str">
        <f>DA72</f>
        <v>1,564</v>
      </c>
      <c r="DB4" s="74"/>
    </row>
    <row r="5" spans="2:106" ht="11.25" customHeight="1" x14ac:dyDescent="0.2"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5"/>
      <c r="CY5" s="75"/>
      <c r="CZ5" s="75"/>
      <c r="DA5" s="76"/>
      <c r="DB5" s="74"/>
    </row>
    <row r="6" spans="2:106" s="83" customFormat="1" ht="11.25" customHeight="1" x14ac:dyDescent="0.2">
      <c r="B6" s="78"/>
      <c r="C6" s="79"/>
      <c r="D6" s="79"/>
      <c r="E6" s="79" t="s">
        <v>479</v>
      </c>
      <c r="F6" s="79"/>
      <c r="G6" s="79"/>
      <c r="H6" s="79" t="s">
        <v>733</v>
      </c>
      <c r="I6" s="79"/>
      <c r="J6" s="79"/>
      <c r="K6" s="79" t="s">
        <v>921</v>
      </c>
      <c r="L6" s="79"/>
      <c r="M6" s="79"/>
      <c r="N6" s="79" t="s">
        <v>721</v>
      </c>
      <c r="O6" s="79"/>
      <c r="P6" s="79" t="s">
        <v>143</v>
      </c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 t="s">
        <v>764</v>
      </c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80"/>
      <c r="CY6" s="80"/>
      <c r="CZ6" s="80"/>
      <c r="DA6" s="81"/>
      <c r="DB6" s="82"/>
    </row>
    <row r="7" spans="2:106" ht="11.25" customHeight="1" x14ac:dyDescent="0.2">
      <c r="B7" s="69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5"/>
      <c r="CY7" s="75"/>
      <c r="CZ7" s="75"/>
      <c r="DA7" s="76"/>
      <c r="DB7" s="74"/>
    </row>
    <row r="8" spans="2:106" ht="11.25" customHeight="1" x14ac:dyDescent="0.2">
      <c r="B8" s="69"/>
      <c r="C8" s="70"/>
      <c r="D8" s="70"/>
      <c r="E8" s="70"/>
      <c r="F8" s="70"/>
      <c r="G8" s="70" t="s">
        <v>189</v>
      </c>
      <c r="H8" s="70"/>
      <c r="I8" s="70"/>
      <c r="J8" s="70" t="s">
        <v>382</v>
      </c>
      <c r="K8" s="70"/>
      <c r="L8" s="70" t="str">
        <f>TEXT(0.7,"#,##0.#######")</f>
        <v>0.7</v>
      </c>
      <c r="M8" s="70"/>
      <c r="N8" s="70"/>
      <c r="O8" s="70"/>
      <c r="P8" s="70"/>
      <c r="Q8" s="70"/>
      <c r="R8" s="70"/>
      <c r="S8" s="70"/>
      <c r="T8" s="70"/>
      <c r="U8" s="70" t="s">
        <v>112</v>
      </c>
      <c r="V8" s="70"/>
      <c r="W8" s="70" t="s">
        <v>382</v>
      </c>
      <c r="X8" s="70"/>
      <c r="Y8" s="70" t="str">
        <f>TEXT(1,"#,##0.#######")</f>
        <v>1.</v>
      </c>
      <c r="Z8" s="70"/>
      <c r="AA8" s="70" t="s">
        <v>163</v>
      </c>
      <c r="AB8" s="70"/>
      <c r="AC8" s="70" t="str">
        <f>TEXT(1.25,"#,##0.#######")</f>
        <v>1.25</v>
      </c>
      <c r="AD8" s="70"/>
      <c r="AE8" s="70"/>
      <c r="AF8" s="70"/>
      <c r="AG8" s="70"/>
      <c r="AH8" s="70" t="s">
        <v>508</v>
      </c>
      <c r="AI8" s="70" t="s">
        <v>756</v>
      </c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 t="s">
        <v>109</v>
      </c>
      <c r="AV8" s="70"/>
      <c r="AW8" s="70"/>
      <c r="AX8" s="70" t="s">
        <v>382</v>
      </c>
      <c r="AY8" s="70"/>
      <c r="AZ8" s="70" t="str">
        <f>TEXT(ROUND(Y8/AC8,2),"#,##0.#######")</f>
        <v>0.8</v>
      </c>
      <c r="BA8" s="70"/>
      <c r="BB8" s="70"/>
      <c r="BC8" s="70"/>
      <c r="BD8" s="70"/>
      <c r="BE8" s="70" t="s">
        <v>543</v>
      </c>
      <c r="BF8" s="70"/>
      <c r="BG8" s="70"/>
      <c r="BH8" s="70"/>
      <c r="BI8" s="70"/>
      <c r="BJ8" s="70"/>
      <c r="BK8" s="70" t="s">
        <v>410</v>
      </c>
      <c r="BL8" s="70"/>
      <c r="BM8" s="70" t="s">
        <v>382</v>
      </c>
      <c r="BN8" s="70"/>
      <c r="BO8" s="70" t="str">
        <f>TEXT(1.1,"#,##0.#######")</f>
        <v>1.1</v>
      </c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5"/>
      <c r="CY8" s="75"/>
      <c r="CZ8" s="75"/>
      <c r="DA8" s="76"/>
      <c r="DB8" s="74"/>
    </row>
    <row r="9" spans="2:106" ht="11.25" customHeight="1" x14ac:dyDescent="0.2">
      <c r="B9" s="69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5"/>
      <c r="CY9" s="75"/>
      <c r="CZ9" s="75"/>
      <c r="DA9" s="76"/>
      <c r="DB9" s="74"/>
    </row>
    <row r="10" spans="2:106" ht="11.25" customHeight="1" x14ac:dyDescent="0.2">
      <c r="B10" s="69"/>
      <c r="C10" s="70"/>
      <c r="D10" s="70"/>
      <c r="E10" s="70"/>
      <c r="F10" s="70"/>
      <c r="G10" s="70" t="s">
        <v>746</v>
      </c>
      <c r="H10" s="70"/>
      <c r="I10" s="70"/>
      <c r="J10" s="70" t="s">
        <v>382</v>
      </c>
      <c r="K10" s="70"/>
      <c r="L10" s="70" t="str">
        <f>TEXT(0.8,"#,##0.#######")</f>
        <v>0.8</v>
      </c>
      <c r="M10" s="70"/>
      <c r="N10" s="70"/>
      <c r="O10" s="70"/>
      <c r="P10" s="70"/>
      <c r="Q10" s="70"/>
      <c r="R10" s="70"/>
      <c r="S10" s="70"/>
      <c r="T10" s="70"/>
      <c r="U10" s="70" t="s">
        <v>93</v>
      </c>
      <c r="V10" s="70"/>
      <c r="W10" s="70"/>
      <c r="X10" s="70"/>
      <c r="Y10" s="70" t="s">
        <v>382</v>
      </c>
      <c r="Z10" s="70"/>
      <c r="AA10" s="70" t="str">
        <f>TEXT(18,"#,##0.#######")</f>
        <v>18.</v>
      </c>
      <c r="AB10" s="70"/>
      <c r="AC10" s="70"/>
      <c r="AD10" s="70" t="s">
        <v>853</v>
      </c>
      <c r="AE10" s="70"/>
      <c r="AF10" s="70"/>
      <c r="AG10" s="70" t="s">
        <v>508</v>
      </c>
      <c r="AH10" s="70" t="s">
        <v>89</v>
      </c>
      <c r="AI10" s="70"/>
      <c r="AJ10" s="70" t="s">
        <v>685</v>
      </c>
      <c r="AK10" s="70"/>
      <c r="AL10" s="70" t="s">
        <v>109</v>
      </c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5"/>
      <c r="CY10" s="75"/>
      <c r="CZ10" s="75"/>
      <c r="DA10" s="76"/>
      <c r="DB10" s="74"/>
    </row>
    <row r="11" spans="2:106" ht="11.2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5"/>
      <c r="CY11" s="75"/>
      <c r="CZ11" s="75"/>
      <c r="DA11" s="76"/>
      <c r="DB11" s="74"/>
    </row>
    <row r="12" spans="2:106" ht="11.25" customHeight="1" x14ac:dyDescent="0.2">
      <c r="B12" s="69"/>
      <c r="C12" s="70"/>
      <c r="D12" s="70"/>
      <c r="E12" s="70"/>
      <c r="F12" s="70"/>
      <c r="G12" s="70" t="s">
        <v>65</v>
      </c>
      <c r="H12" s="70"/>
      <c r="I12" s="70" t="s">
        <v>382</v>
      </c>
      <c r="J12" s="70" t="s">
        <v>508</v>
      </c>
      <c r="K12" s="70" t="str">
        <f>TEXT(3600,"#,##0.#######")</f>
        <v>3,600.</v>
      </c>
      <c r="L12" s="70"/>
      <c r="M12" s="70"/>
      <c r="N12" s="70"/>
      <c r="O12" s="70"/>
      <c r="P12" s="70" t="s">
        <v>812</v>
      </c>
      <c r="Q12" s="70"/>
      <c r="R12" s="70" t="s">
        <v>189</v>
      </c>
      <c r="S12" s="70"/>
      <c r="T12" s="70" t="s">
        <v>812</v>
      </c>
      <c r="U12" s="70"/>
      <c r="V12" s="70" t="s">
        <v>410</v>
      </c>
      <c r="W12" s="70" t="s">
        <v>812</v>
      </c>
      <c r="X12" s="70"/>
      <c r="Y12" s="70" t="s">
        <v>112</v>
      </c>
      <c r="Z12" s="70" t="s">
        <v>812</v>
      </c>
      <c r="AA12" s="70"/>
      <c r="AB12" s="70" t="s">
        <v>746</v>
      </c>
      <c r="AC12" s="70"/>
      <c r="AD12" s="70" t="s">
        <v>109</v>
      </c>
      <c r="AE12" s="70"/>
      <c r="AF12" s="70" t="s">
        <v>163</v>
      </c>
      <c r="AG12" s="70"/>
      <c r="AH12" s="70"/>
      <c r="AI12" s="70"/>
      <c r="AJ12" s="70"/>
      <c r="AK12" s="70"/>
      <c r="AL12" s="70"/>
      <c r="AM12" s="70"/>
      <c r="AN12" s="70"/>
      <c r="AO12" s="70" t="s">
        <v>93</v>
      </c>
      <c r="AP12" s="70"/>
      <c r="AQ12" s="70"/>
      <c r="AR12" s="70"/>
      <c r="AS12" s="70" t="s">
        <v>382</v>
      </c>
      <c r="AT12" s="70"/>
      <c r="AU12" s="70" t="str">
        <f>TEXT(ROUND((K12*L8*BO8*AZ8*L10)/AA10,2),"#,##0.#######")</f>
        <v>98.56</v>
      </c>
      <c r="AV12" s="70"/>
      <c r="AW12" s="70"/>
      <c r="AX12" s="70"/>
      <c r="AY12" s="70"/>
      <c r="AZ12" s="70"/>
      <c r="BA12" s="70"/>
      <c r="BB12" s="70"/>
      <c r="BC12" s="70" t="s">
        <v>690</v>
      </c>
      <c r="BD12" s="70"/>
      <c r="BE12" s="70" t="s">
        <v>163</v>
      </c>
      <c r="BF12" s="70" t="s">
        <v>717</v>
      </c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5"/>
      <c r="CY12" s="75"/>
      <c r="CZ12" s="75"/>
      <c r="DA12" s="76"/>
      <c r="DB12" s="74"/>
    </row>
    <row r="13" spans="2:106" ht="11.25" customHeight="1" x14ac:dyDescent="0.2">
      <c r="B13" s="6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5"/>
      <c r="CY13" s="75"/>
      <c r="CZ13" s="75"/>
      <c r="DA13" s="76"/>
      <c r="DB13" s="74"/>
    </row>
    <row r="14" spans="2:106" ht="11.25" customHeight="1" x14ac:dyDescent="0.2">
      <c r="B14" s="69"/>
      <c r="C14" s="70"/>
      <c r="D14" s="70"/>
      <c r="E14" s="70"/>
      <c r="F14" s="70"/>
      <c r="G14" s="70"/>
      <c r="H14" s="70" t="s">
        <v>815</v>
      </c>
      <c r="I14" s="70"/>
      <c r="J14" s="70"/>
      <c r="K14" s="70"/>
      <c r="L14" s="70"/>
      <c r="M14" s="70"/>
      <c r="N14" s="70"/>
      <c r="O14" s="70" t="s">
        <v>721</v>
      </c>
      <c r="P14" s="70"/>
      <c r="Q14" s="70"/>
      <c r="R14" s="70" t="str">
        <f>TEXT(기계경비총괄표!G8,"#,##0")</f>
        <v>55,699</v>
      </c>
      <c r="S14" s="70"/>
      <c r="T14" s="70"/>
      <c r="U14" s="70"/>
      <c r="V14" s="70"/>
      <c r="W14" s="70"/>
      <c r="X14" s="70"/>
      <c r="Y14" s="70"/>
      <c r="Z14" s="70"/>
      <c r="AA14" s="70" t="s">
        <v>163</v>
      </c>
      <c r="AB14" s="70"/>
      <c r="AC14" s="70" t="str">
        <f>TEXT(AU12,"#,##0.#######")</f>
        <v>98.56</v>
      </c>
      <c r="AD14" s="70"/>
      <c r="AE14" s="70"/>
      <c r="AF14" s="70"/>
      <c r="AG14" s="70"/>
      <c r="AH14" s="70"/>
      <c r="AI14" s="70"/>
      <c r="AJ14" s="70"/>
      <c r="AK14" s="70" t="s">
        <v>382</v>
      </c>
      <c r="AL14" s="70"/>
      <c r="AM14" s="70" t="str">
        <f>TEXT(TRUNC(R14/AU12,1),"#,##0.#")</f>
        <v>565.1</v>
      </c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5"/>
      <c r="CY14" s="75"/>
      <c r="CZ14" s="75"/>
      <c r="DA14" s="76"/>
      <c r="DB14" s="74"/>
    </row>
    <row r="15" spans="2:106" ht="11.25" customHeight="1" x14ac:dyDescent="0.2">
      <c r="B15" s="69"/>
      <c r="C15" s="70"/>
      <c r="D15" s="70"/>
      <c r="E15" s="70"/>
      <c r="F15" s="70"/>
      <c r="G15" s="70"/>
      <c r="H15" s="70" t="s">
        <v>590</v>
      </c>
      <c r="I15" s="70"/>
      <c r="J15" s="70"/>
      <c r="K15" s="70"/>
      <c r="L15" s="70"/>
      <c r="M15" s="70"/>
      <c r="N15" s="70"/>
      <c r="O15" s="70" t="s">
        <v>721</v>
      </c>
      <c r="P15" s="70"/>
      <c r="Q15" s="70"/>
      <c r="R15" s="70" t="str">
        <f>TEXT(기계경비총괄표!H8,"#,##0")</f>
        <v>17,392</v>
      </c>
      <c r="S15" s="70"/>
      <c r="T15" s="70"/>
      <c r="U15" s="70"/>
      <c r="V15" s="70"/>
      <c r="W15" s="70"/>
      <c r="X15" s="70"/>
      <c r="Y15" s="70"/>
      <c r="Z15" s="70"/>
      <c r="AA15" s="70" t="s">
        <v>163</v>
      </c>
      <c r="AB15" s="70"/>
      <c r="AC15" s="70" t="str">
        <f>TEXT(AU12,"#,##0.#######")</f>
        <v>98.56</v>
      </c>
      <c r="AD15" s="70"/>
      <c r="AE15" s="70"/>
      <c r="AF15" s="70"/>
      <c r="AG15" s="70"/>
      <c r="AH15" s="70"/>
      <c r="AI15" s="70"/>
      <c r="AJ15" s="70"/>
      <c r="AK15" s="70" t="s">
        <v>382</v>
      </c>
      <c r="AL15" s="70"/>
      <c r="AM15" s="70" t="str">
        <f>TEXT(TRUNC(R15/AU12,1),"#,##0.#")</f>
        <v>176.4</v>
      </c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5"/>
      <c r="CY15" s="75"/>
      <c r="CZ15" s="75"/>
      <c r="DA15" s="76"/>
      <c r="DB15" s="74"/>
    </row>
    <row r="16" spans="2:106" ht="11.25" customHeight="1" x14ac:dyDescent="0.2">
      <c r="B16" s="69"/>
      <c r="C16" s="70"/>
      <c r="D16" s="70"/>
      <c r="E16" s="70"/>
      <c r="F16" s="70"/>
      <c r="G16" s="70"/>
      <c r="H16" s="70" t="s">
        <v>213</v>
      </c>
      <c r="I16" s="70"/>
      <c r="J16" s="70"/>
      <c r="K16" s="70"/>
      <c r="L16" s="70" t="s">
        <v>522</v>
      </c>
      <c r="M16" s="70"/>
      <c r="N16" s="70"/>
      <c r="O16" s="70" t="s">
        <v>721</v>
      </c>
      <c r="P16" s="70"/>
      <c r="Q16" s="70"/>
      <c r="R16" s="70" t="str">
        <f>TEXT(기계경비총괄표!I8,"#,##0")</f>
        <v>23,128</v>
      </c>
      <c r="S16" s="70"/>
      <c r="T16" s="70"/>
      <c r="U16" s="70"/>
      <c r="V16" s="70"/>
      <c r="W16" s="70"/>
      <c r="X16" s="70"/>
      <c r="Y16" s="70"/>
      <c r="Z16" s="70"/>
      <c r="AA16" s="70" t="s">
        <v>163</v>
      </c>
      <c r="AB16" s="70"/>
      <c r="AC16" s="70" t="str">
        <f>TEXT(AU12,"#,##0.#######")</f>
        <v>98.56</v>
      </c>
      <c r="AD16" s="70"/>
      <c r="AE16" s="70"/>
      <c r="AF16" s="70"/>
      <c r="AG16" s="70"/>
      <c r="AH16" s="70"/>
      <c r="AI16" s="70"/>
      <c r="AJ16" s="70"/>
      <c r="AK16" s="70" t="s">
        <v>382</v>
      </c>
      <c r="AL16" s="70"/>
      <c r="AM16" s="70" t="str">
        <f>TEXT(TRUNC(R16/AU12,1),"#,##0.#")</f>
        <v>234.6</v>
      </c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5"/>
      <c r="CY16" s="75"/>
      <c r="CZ16" s="75"/>
      <c r="DA16" s="76"/>
      <c r="DB16" s="74"/>
    </row>
    <row r="17" spans="2:106" ht="11.25" customHeight="1" x14ac:dyDescent="0.2">
      <c r="B17" s="69"/>
      <c r="C17" s="70"/>
      <c r="D17" s="70"/>
      <c r="E17" s="70"/>
      <c r="F17" s="70"/>
      <c r="G17" s="70"/>
      <c r="H17" s="70" t="s">
        <v>372</v>
      </c>
      <c r="I17" s="70"/>
      <c r="J17" s="70"/>
      <c r="K17" s="70"/>
      <c r="L17" s="70" t="s">
        <v>511</v>
      </c>
      <c r="M17" s="70"/>
      <c r="N17" s="70"/>
      <c r="O17" s="70" t="s">
        <v>721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 t="str">
        <f>TEXT(AM14+AM15+AM16,"#,##0.#######")</f>
        <v>976.1</v>
      </c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5">
        <f>CY17+CZ17+DA17</f>
        <v>976.1</v>
      </c>
      <c r="CY17" s="75" t="str">
        <f>TEXT(AM14,"#,###.0")</f>
        <v>565.1</v>
      </c>
      <c r="CZ17" s="75" t="str">
        <f>TEXT(AM15,"#,###.0")</f>
        <v>176.4</v>
      </c>
      <c r="DA17" s="76" t="str">
        <f>TEXT(AM16,"#,###.0")</f>
        <v>234.6</v>
      </c>
      <c r="DB17" s="74"/>
    </row>
    <row r="18" spans="2:106" ht="11.25" customHeight="1" x14ac:dyDescent="0.2">
      <c r="B18" s="69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5"/>
      <c r="CY18" s="75"/>
      <c r="CZ18" s="75"/>
      <c r="DA18" s="76"/>
      <c r="DB18" s="74"/>
    </row>
    <row r="19" spans="2:106" s="83" customFormat="1" ht="11.25" customHeight="1" x14ac:dyDescent="0.2">
      <c r="B19" s="78"/>
      <c r="C19" s="79"/>
      <c r="D19" s="79"/>
      <c r="E19" s="79" t="s">
        <v>713</v>
      </c>
      <c r="F19" s="79"/>
      <c r="G19" s="79"/>
      <c r="H19" s="79" t="s">
        <v>228</v>
      </c>
      <c r="I19" s="79"/>
      <c r="J19" s="79"/>
      <c r="K19" s="79" t="s">
        <v>954</v>
      </c>
      <c r="L19" s="79"/>
      <c r="M19" s="79"/>
      <c r="N19" s="79" t="s">
        <v>721</v>
      </c>
      <c r="O19" s="79"/>
      <c r="P19" s="79" t="s">
        <v>755</v>
      </c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 t="s">
        <v>216</v>
      </c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80"/>
      <c r="CY19" s="80"/>
      <c r="CZ19" s="80"/>
      <c r="DA19" s="81"/>
      <c r="DB19" s="82"/>
    </row>
    <row r="20" spans="2:106" ht="11.25" customHeight="1" x14ac:dyDescent="0.2"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5"/>
      <c r="CY20" s="75"/>
      <c r="CZ20" s="75"/>
      <c r="DA20" s="76"/>
      <c r="DB20" s="74"/>
    </row>
    <row r="21" spans="2:106" ht="11.25" customHeight="1" x14ac:dyDescent="0.2"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 t="s">
        <v>508</v>
      </c>
      <c r="R21" s="70" t="s">
        <v>18</v>
      </c>
      <c r="S21" s="70"/>
      <c r="T21" s="70"/>
      <c r="U21" s="70"/>
      <c r="V21" s="70"/>
      <c r="W21" s="70"/>
      <c r="X21" s="70" t="s">
        <v>109</v>
      </c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 t="s">
        <v>508</v>
      </c>
      <c r="AP21" s="70" t="s">
        <v>35</v>
      </c>
      <c r="AQ21" s="70"/>
      <c r="AR21" s="70"/>
      <c r="AS21" s="70"/>
      <c r="AT21" s="70"/>
      <c r="AU21" s="70"/>
      <c r="AV21" s="70"/>
      <c r="AW21" s="70"/>
      <c r="AX21" s="70" t="s">
        <v>109</v>
      </c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5"/>
      <c r="CY21" s="75"/>
      <c r="CZ21" s="75"/>
      <c r="DA21" s="76"/>
      <c r="DB21" s="74"/>
    </row>
    <row r="22" spans="2:106" ht="11.25" customHeight="1" x14ac:dyDescent="0.2">
      <c r="B22" s="69"/>
      <c r="C22" s="70"/>
      <c r="D22" s="70"/>
      <c r="E22" s="70"/>
      <c r="F22" s="70"/>
      <c r="G22" s="70"/>
      <c r="H22" s="70" t="s">
        <v>512</v>
      </c>
      <c r="I22" s="70"/>
      <c r="J22" s="70"/>
      <c r="K22" s="70"/>
      <c r="L22" s="70"/>
      <c r="M22" s="70"/>
      <c r="N22" s="70"/>
      <c r="O22" s="70"/>
      <c r="P22" s="70"/>
      <c r="Q22" s="70"/>
      <c r="R22" s="70" t="s">
        <v>203</v>
      </c>
      <c r="S22" s="70"/>
      <c r="T22" s="70" t="s">
        <v>382</v>
      </c>
      <c r="U22" s="70" t="str">
        <f>TEXT(0.1,"#,##0.#######")</f>
        <v>0.1</v>
      </c>
      <c r="V22" s="70"/>
      <c r="W22" s="70"/>
      <c r="X22" s="70"/>
      <c r="Y22" s="70" t="s">
        <v>513</v>
      </c>
      <c r="Z22" s="70"/>
      <c r="AA22" s="70"/>
      <c r="AB22" s="70"/>
      <c r="AC22" s="70"/>
      <c r="AD22" s="70"/>
      <c r="AE22" s="70"/>
      <c r="AF22" s="70" t="s">
        <v>680</v>
      </c>
      <c r="AG22" s="70"/>
      <c r="AH22" s="70"/>
      <c r="AI22" s="70"/>
      <c r="AJ22" s="70"/>
      <c r="AK22" s="70"/>
      <c r="AL22" s="70"/>
      <c r="AM22" s="70"/>
      <c r="AN22" s="70"/>
      <c r="AO22" s="70" t="s">
        <v>543</v>
      </c>
      <c r="AP22" s="70"/>
      <c r="AQ22" s="70"/>
      <c r="AR22" s="70"/>
      <c r="AS22" s="70"/>
      <c r="AT22" s="70" t="s">
        <v>516</v>
      </c>
      <c r="AU22" s="70"/>
      <c r="AV22" s="70" t="s">
        <v>382</v>
      </c>
      <c r="AW22" s="70" t="str">
        <f>TEXT(5,"#,##0.#######")</f>
        <v>5.</v>
      </c>
      <c r="AX22" s="70"/>
      <c r="AY22" s="70" t="s">
        <v>513</v>
      </c>
      <c r="AZ22" s="70"/>
      <c r="BA22" s="70"/>
      <c r="BB22" s="70"/>
      <c r="BC22" s="70"/>
      <c r="BD22" s="70"/>
      <c r="BE22" s="70"/>
      <c r="BF22" s="70" t="s">
        <v>643</v>
      </c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5"/>
      <c r="CY22" s="75"/>
      <c r="CZ22" s="75"/>
      <c r="DA22" s="76"/>
      <c r="DB22" s="74"/>
    </row>
    <row r="23" spans="2:106" ht="11.25" customHeight="1" x14ac:dyDescent="0.2">
      <c r="B23" s="69"/>
      <c r="C23" s="70"/>
      <c r="D23" s="70"/>
      <c r="E23" s="70"/>
      <c r="F23" s="70"/>
      <c r="G23" s="70"/>
      <c r="H23" s="70"/>
      <c r="I23" s="70" t="s">
        <v>682</v>
      </c>
      <c r="J23" s="70"/>
      <c r="K23" s="70"/>
      <c r="L23" s="70" t="s">
        <v>30</v>
      </c>
      <c r="M23" s="70" t="s">
        <v>30</v>
      </c>
      <c r="N23" s="70" t="s">
        <v>30</v>
      </c>
      <c r="O23" s="70" t="s">
        <v>30</v>
      </c>
      <c r="P23" s="70" t="s">
        <v>30</v>
      </c>
      <c r="Q23" s="70" t="s">
        <v>30</v>
      </c>
      <c r="R23" s="70" t="s">
        <v>30</v>
      </c>
      <c r="S23" s="70" t="s">
        <v>30</v>
      </c>
      <c r="T23" s="70" t="s">
        <v>30</v>
      </c>
      <c r="U23" s="70" t="s">
        <v>30</v>
      </c>
      <c r="V23" s="70" t="s">
        <v>30</v>
      </c>
      <c r="W23" s="70" t="s">
        <v>30</v>
      </c>
      <c r="X23" s="70" t="s">
        <v>30</v>
      </c>
      <c r="Y23" s="70" t="s">
        <v>30</v>
      </c>
      <c r="Z23" s="70" t="s">
        <v>30</v>
      </c>
      <c r="AA23" s="70" t="s">
        <v>30</v>
      </c>
      <c r="AB23" s="70" t="s">
        <v>30</v>
      </c>
      <c r="AC23" s="70" t="s">
        <v>30</v>
      </c>
      <c r="AD23" s="70" t="s">
        <v>30</v>
      </c>
      <c r="AE23" s="70" t="s">
        <v>30</v>
      </c>
      <c r="AF23" s="70"/>
      <c r="AG23" s="70" t="s">
        <v>682</v>
      </c>
      <c r="AH23" s="70"/>
      <c r="AI23" s="70"/>
      <c r="AJ23" s="70" t="s">
        <v>30</v>
      </c>
      <c r="AK23" s="70" t="s">
        <v>30</v>
      </c>
      <c r="AL23" s="70" t="s">
        <v>30</v>
      </c>
      <c r="AM23" s="70" t="s">
        <v>30</v>
      </c>
      <c r="AN23" s="70" t="s">
        <v>30</v>
      </c>
      <c r="AO23" s="70" t="s">
        <v>30</v>
      </c>
      <c r="AP23" s="70" t="s">
        <v>30</v>
      </c>
      <c r="AQ23" s="70" t="s">
        <v>30</v>
      </c>
      <c r="AR23" s="70" t="s">
        <v>30</v>
      </c>
      <c r="AS23" s="70" t="s">
        <v>30</v>
      </c>
      <c r="AT23" s="70" t="s">
        <v>30</v>
      </c>
      <c r="AU23" s="70" t="s">
        <v>30</v>
      </c>
      <c r="AV23" s="70" t="s">
        <v>30</v>
      </c>
      <c r="AW23" s="70" t="s">
        <v>30</v>
      </c>
      <c r="AX23" s="70" t="s">
        <v>30</v>
      </c>
      <c r="AY23" s="70" t="s">
        <v>30</v>
      </c>
      <c r="AZ23" s="70" t="s">
        <v>30</v>
      </c>
      <c r="BA23" s="70" t="s">
        <v>30</v>
      </c>
      <c r="BB23" s="70" t="s">
        <v>30</v>
      </c>
      <c r="BC23" s="70" t="s">
        <v>30</v>
      </c>
      <c r="BD23" s="70"/>
      <c r="BE23" s="70" t="s">
        <v>682</v>
      </c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5"/>
      <c r="CY23" s="75"/>
      <c r="CZ23" s="75"/>
      <c r="DA23" s="76"/>
      <c r="DB23" s="74"/>
    </row>
    <row r="24" spans="2:106" ht="11.25" customHeight="1" x14ac:dyDescent="0.2">
      <c r="B24" s="69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 t="s">
        <v>865</v>
      </c>
      <c r="P24" s="70"/>
      <c r="Q24" s="70" t="s">
        <v>382</v>
      </c>
      <c r="R24" s="70" t="str">
        <f>TEXT(10,"#,##0.#######")</f>
        <v>10.</v>
      </c>
      <c r="S24" s="70"/>
      <c r="T24" s="70"/>
      <c r="U24" s="70" t="s">
        <v>513</v>
      </c>
      <c r="V24" s="70"/>
      <c r="W24" s="70" t="s">
        <v>163</v>
      </c>
      <c r="X24" s="70" t="s">
        <v>717</v>
      </c>
      <c r="Y24" s="70"/>
      <c r="Z24" s="70"/>
      <c r="AA24" s="70" t="s">
        <v>543</v>
      </c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 t="s">
        <v>735</v>
      </c>
      <c r="AR24" s="70"/>
      <c r="AS24" s="70" t="s">
        <v>382</v>
      </c>
      <c r="AT24" s="70" t="str">
        <f>TEXT(30,"#,##0.#######")</f>
        <v>30.</v>
      </c>
      <c r="AU24" s="70"/>
      <c r="AV24" s="70"/>
      <c r="AW24" s="70" t="s">
        <v>513</v>
      </c>
      <c r="AX24" s="70"/>
      <c r="AY24" s="70" t="s">
        <v>163</v>
      </c>
      <c r="AZ24" s="70" t="s">
        <v>717</v>
      </c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5"/>
      <c r="CY24" s="75"/>
      <c r="CZ24" s="75"/>
      <c r="DA24" s="76"/>
      <c r="DB24" s="74"/>
    </row>
    <row r="25" spans="2:106" ht="11.25" customHeight="1" x14ac:dyDescent="0.2">
      <c r="B25" s="69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 t="s">
        <v>320</v>
      </c>
      <c r="P25" s="70"/>
      <c r="Q25" s="70" t="s">
        <v>382</v>
      </c>
      <c r="R25" s="70" t="str">
        <f>TEXT(15,"#,##0.#######")</f>
        <v>15.</v>
      </c>
      <c r="S25" s="70"/>
      <c r="T25" s="70"/>
      <c r="U25" s="70" t="s">
        <v>513</v>
      </c>
      <c r="V25" s="70"/>
      <c r="W25" s="70" t="s">
        <v>163</v>
      </c>
      <c r="X25" s="70" t="s">
        <v>717</v>
      </c>
      <c r="Y25" s="70"/>
      <c r="Z25" s="70"/>
      <c r="AA25" s="70" t="s">
        <v>543</v>
      </c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 t="s">
        <v>397</v>
      </c>
      <c r="AR25" s="70"/>
      <c r="AS25" s="70" t="s">
        <v>382</v>
      </c>
      <c r="AT25" s="70" t="str">
        <f>TEXT(35,"#,##0.#######")</f>
        <v>35.</v>
      </c>
      <c r="AU25" s="70"/>
      <c r="AV25" s="70"/>
      <c r="AW25" s="70" t="s">
        <v>513</v>
      </c>
      <c r="AX25" s="70"/>
      <c r="AY25" s="70" t="s">
        <v>163</v>
      </c>
      <c r="AZ25" s="70" t="s">
        <v>717</v>
      </c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5"/>
      <c r="CY25" s="75"/>
      <c r="CZ25" s="75"/>
      <c r="DA25" s="76"/>
      <c r="DB25" s="74"/>
    </row>
    <row r="26" spans="2:106" ht="11.25" customHeight="1" x14ac:dyDescent="0.2">
      <c r="B26" s="69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5"/>
      <c r="CY26" s="75"/>
      <c r="CZ26" s="75"/>
      <c r="DA26" s="76"/>
      <c r="DB26" s="74"/>
    </row>
    <row r="27" spans="2:106" ht="11.25" customHeight="1" x14ac:dyDescent="0.2">
      <c r="B27" s="69"/>
      <c r="C27" s="70"/>
      <c r="D27" s="70"/>
      <c r="E27" s="70"/>
      <c r="F27" s="70"/>
      <c r="G27" s="70" t="s">
        <v>597</v>
      </c>
      <c r="H27" s="70"/>
      <c r="I27" s="70" t="s">
        <v>382</v>
      </c>
      <c r="J27" s="70"/>
      <c r="K27" s="70" t="str">
        <f>TEXT(24,"#,##0.#######")</f>
        <v>24.</v>
      </c>
      <c r="L27" s="70"/>
      <c r="M27" s="70"/>
      <c r="N27" s="70" t="s">
        <v>336</v>
      </c>
      <c r="O27" s="70"/>
      <c r="P27" s="70"/>
      <c r="Q27" s="70"/>
      <c r="R27" s="70" t="s">
        <v>543</v>
      </c>
      <c r="S27" s="70"/>
      <c r="T27" s="70"/>
      <c r="U27" s="70"/>
      <c r="V27" s="70"/>
      <c r="W27" s="70"/>
      <c r="X27" s="70" t="s">
        <v>312</v>
      </c>
      <c r="Y27" s="70"/>
      <c r="Z27" s="70"/>
      <c r="AA27" s="70" t="s">
        <v>382</v>
      </c>
      <c r="AB27" s="70"/>
      <c r="AC27" s="70" t="str">
        <f>TEXT(1.6,"#,##0.#######")</f>
        <v>1.6</v>
      </c>
      <c r="AD27" s="70"/>
      <c r="AE27" s="70"/>
      <c r="AF27" s="70"/>
      <c r="AG27" s="70" t="s">
        <v>336</v>
      </c>
      <c r="AH27" s="70"/>
      <c r="AI27" s="70"/>
      <c r="AJ27" s="70" t="s">
        <v>163</v>
      </c>
      <c r="AK27" s="70" t="s">
        <v>690</v>
      </c>
      <c r="AL27" s="70"/>
      <c r="AM27" s="70"/>
      <c r="AN27" s="70" t="s">
        <v>543</v>
      </c>
      <c r="AO27" s="70"/>
      <c r="AP27" s="70"/>
      <c r="AQ27" s="70"/>
      <c r="AR27" s="70"/>
      <c r="AS27" s="70" t="s">
        <v>725</v>
      </c>
      <c r="AT27" s="70"/>
      <c r="AU27" s="70"/>
      <c r="AV27" s="70" t="s">
        <v>382</v>
      </c>
      <c r="AW27" s="70"/>
      <c r="AX27" s="70" t="str">
        <f>TEXT(1.24,"#,##0.#######")</f>
        <v>1.24</v>
      </c>
      <c r="AY27" s="70"/>
      <c r="AZ27" s="70"/>
      <c r="BA27" s="70"/>
      <c r="BB27" s="70"/>
      <c r="BC27" s="70"/>
      <c r="BD27" s="70"/>
      <c r="BE27" s="70"/>
      <c r="BF27" s="70"/>
      <c r="BG27" s="70" t="s">
        <v>419</v>
      </c>
      <c r="BH27" s="70"/>
      <c r="BI27" s="70" t="s">
        <v>382</v>
      </c>
      <c r="BJ27" s="70"/>
      <c r="BK27" s="70" t="str">
        <f>TEXT(0.9,"#,##0.#######")</f>
        <v>0.9</v>
      </c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5"/>
      <c r="CY27" s="75"/>
      <c r="CZ27" s="75"/>
      <c r="DA27" s="76"/>
      <c r="DB27" s="74"/>
    </row>
    <row r="28" spans="2:106" ht="11.25" customHeight="1" x14ac:dyDescent="0.2"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5"/>
      <c r="CY28" s="75"/>
      <c r="CZ28" s="75"/>
      <c r="DA28" s="76"/>
      <c r="DB28" s="74"/>
    </row>
    <row r="29" spans="2:106" ht="11.25" customHeight="1" x14ac:dyDescent="0.2">
      <c r="B29" s="69"/>
      <c r="C29" s="70"/>
      <c r="D29" s="70"/>
      <c r="E29" s="70"/>
      <c r="F29" s="70"/>
      <c r="G29" s="70" t="s">
        <v>813</v>
      </c>
      <c r="H29" s="70"/>
      <c r="I29" s="70" t="s">
        <v>382</v>
      </c>
      <c r="J29" s="70"/>
      <c r="K29" s="70" t="s">
        <v>597</v>
      </c>
      <c r="L29" s="70" t="s">
        <v>163</v>
      </c>
      <c r="M29" s="70" t="s">
        <v>312</v>
      </c>
      <c r="N29" s="70"/>
      <c r="O29" s="70" t="s">
        <v>812</v>
      </c>
      <c r="P29" s="70"/>
      <c r="Q29" s="70" t="s">
        <v>725</v>
      </c>
      <c r="R29" s="70"/>
      <c r="S29" s="70"/>
      <c r="T29" s="70" t="s">
        <v>382</v>
      </c>
      <c r="U29" s="70"/>
      <c r="V29" s="70" t="str">
        <f>TEXT(ROUND(K27/AC27*AX27,2),"#,##0.#######")</f>
        <v>18.6</v>
      </c>
      <c r="W29" s="70"/>
      <c r="X29" s="70"/>
      <c r="Y29" s="70"/>
      <c r="Z29" s="70"/>
      <c r="AA29" s="70"/>
      <c r="AB29" s="70" t="s">
        <v>690</v>
      </c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5"/>
      <c r="CY29" s="75"/>
      <c r="CZ29" s="75"/>
      <c r="DA29" s="76"/>
      <c r="DB29" s="74"/>
    </row>
    <row r="30" spans="2:106" ht="11.25" customHeight="1" x14ac:dyDescent="0.2"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5"/>
      <c r="CY30" s="75"/>
      <c r="CZ30" s="75"/>
      <c r="DA30" s="76"/>
      <c r="DB30" s="74"/>
    </row>
    <row r="31" spans="2:106" ht="11.25" customHeight="1" x14ac:dyDescent="0.2">
      <c r="B31" s="69"/>
      <c r="C31" s="70"/>
      <c r="D31" s="70"/>
      <c r="E31" s="70"/>
      <c r="F31" s="70"/>
      <c r="G31" s="70" t="s">
        <v>176</v>
      </c>
      <c r="H31" s="70"/>
      <c r="I31" s="70" t="s">
        <v>382</v>
      </c>
      <c r="J31" s="70"/>
      <c r="K31" s="70" t="s">
        <v>813</v>
      </c>
      <c r="L31" s="70"/>
      <c r="M31" s="70" t="s">
        <v>163</v>
      </c>
      <c r="N31" s="70"/>
      <c r="O31" s="70" t="s">
        <v>508</v>
      </c>
      <c r="P31" s="70"/>
      <c r="Q31" s="70" t="s">
        <v>189</v>
      </c>
      <c r="R31" s="70"/>
      <c r="S31" s="70"/>
      <c r="T31" s="70" t="s">
        <v>812</v>
      </c>
      <c r="U31" s="70"/>
      <c r="V31" s="70"/>
      <c r="W31" s="70" t="s">
        <v>410</v>
      </c>
      <c r="X31" s="70"/>
      <c r="Y31" s="70" t="s">
        <v>109</v>
      </c>
      <c r="Z31" s="70"/>
      <c r="AA31" s="70" t="s">
        <v>382</v>
      </c>
      <c r="AB31" s="70"/>
      <c r="AC31" s="70" t="str">
        <f>TEXT(ROUND(V29/(L8*BO8),2),"#,##0.#######")</f>
        <v>24.16</v>
      </c>
      <c r="AD31" s="70"/>
      <c r="AE31" s="70"/>
      <c r="AF31" s="70"/>
      <c r="AG31" s="70"/>
      <c r="AH31" s="70"/>
      <c r="AI31" s="70"/>
      <c r="AJ31" s="70" t="s">
        <v>615</v>
      </c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5"/>
      <c r="CY31" s="75"/>
      <c r="CZ31" s="75"/>
      <c r="DA31" s="76"/>
      <c r="DB31" s="74"/>
    </row>
    <row r="32" spans="2:106" ht="11.25" customHeight="1" x14ac:dyDescent="0.2">
      <c r="B32" s="69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5"/>
      <c r="CY32" s="75"/>
      <c r="CZ32" s="75"/>
      <c r="DA32" s="76"/>
      <c r="DB32" s="74"/>
    </row>
    <row r="33" spans="2:106" ht="11.25" customHeight="1" x14ac:dyDescent="0.2">
      <c r="B33" s="69"/>
      <c r="C33" s="70"/>
      <c r="D33" s="70"/>
      <c r="E33" s="70"/>
      <c r="F33" s="70"/>
      <c r="G33" s="70" t="s">
        <v>757</v>
      </c>
      <c r="H33" s="70"/>
      <c r="I33" s="70"/>
      <c r="J33" s="70" t="s">
        <v>382</v>
      </c>
      <c r="K33" s="70"/>
      <c r="L33" s="70" t="s">
        <v>93</v>
      </c>
      <c r="M33" s="70"/>
      <c r="N33" s="70"/>
      <c r="O33" s="70"/>
      <c r="P33" s="70" t="s">
        <v>812</v>
      </c>
      <c r="Q33" s="70"/>
      <c r="R33" s="70"/>
      <c r="S33" s="70" t="s">
        <v>176</v>
      </c>
      <c r="T33" s="70"/>
      <c r="U33" s="70" t="s">
        <v>163</v>
      </c>
      <c r="V33" s="70"/>
      <c r="W33" s="70" t="s">
        <v>508</v>
      </c>
      <c r="X33" s="70"/>
      <c r="Y33" s="70" t="str">
        <f>TEXT(60,"#,##0.#######")</f>
        <v>60.</v>
      </c>
      <c r="Z33" s="70"/>
      <c r="AA33" s="70"/>
      <c r="AB33" s="70" t="s">
        <v>812</v>
      </c>
      <c r="AC33" s="70"/>
      <c r="AD33" s="70"/>
      <c r="AE33" s="70" t="s">
        <v>746</v>
      </c>
      <c r="AF33" s="70"/>
      <c r="AG33" s="70"/>
      <c r="AH33" s="70" t="s">
        <v>109</v>
      </c>
      <c r="AI33" s="70"/>
      <c r="AJ33" s="70" t="s">
        <v>382</v>
      </c>
      <c r="AK33" s="70"/>
      <c r="AL33" s="70" t="str">
        <f>TEXT(ROUND(AA10*AC31/(Y33*L10),2),"#,##0.#######")</f>
        <v>9.06</v>
      </c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5"/>
      <c r="CY33" s="75"/>
      <c r="CZ33" s="75"/>
      <c r="DA33" s="76"/>
      <c r="DB33" s="74"/>
    </row>
    <row r="34" spans="2:106" ht="11.25" customHeight="1" x14ac:dyDescent="0.2">
      <c r="B34" s="69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5"/>
      <c r="CY34" s="75"/>
      <c r="CZ34" s="75"/>
      <c r="DA34" s="76"/>
      <c r="DB34" s="74"/>
    </row>
    <row r="35" spans="2:106" ht="11.25" customHeight="1" x14ac:dyDescent="0.2">
      <c r="B35" s="69"/>
      <c r="C35" s="70"/>
      <c r="D35" s="70"/>
      <c r="E35" s="70"/>
      <c r="F35" s="70"/>
      <c r="G35" s="70" t="s">
        <v>432</v>
      </c>
      <c r="H35" s="70"/>
      <c r="I35" s="70"/>
      <c r="J35" s="70" t="s">
        <v>382</v>
      </c>
      <c r="K35" s="70"/>
      <c r="L35" s="70" t="s">
        <v>508</v>
      </c>
      <c r="M35" s="70" t="s">
        <v>203</v>
      </c>
      <c r="N35" s="70"/>
      <c r="O35" s="70" t="s">
        <v>163</v>
      </c>
      <c r="P35" s="70" t="s">
        <v>865</v>
      </c>
      <c r="Q35" s="70"/>
      <c r="R35" s="70" t="s">
        <v>199</v>
      </c>
      <c r="S35" s="70" t="s">
        <v>203</v>
      </c>
      <c r="T35" s="70"/>
      <c r="U35" s="70" t="s">
        <v>163</v>
      </c>
      <c r="V35" s="70" t="s">
        <v>320</v>
      </c>
      <c r="W35" s="70"/>
      <c r="X35" s="70"/>
      <c r="Y35" s="70" t="s">
        <v>199</v>
      </c>
      <c r="Z35" s="70" t="s">
        <v>516</v>
      </c>
      <c r="AA35" s="70"/>
      <c r="AB35" s="70"/>
      <c r="AC35" s="70" t="s">
        <v>163</v>
      </c>
      <c r="AD35" s="70" t="s">
        <v>735</v>
      </c>
      <c r="AE35" s="70"/>
      <c r="AF35" s="70" t="s">
        <v>199</v>
      </c>
      <c r="AG35" s="70" t="s">
        <v>516</v>
      </c>
      <c r="AH35" s="70"/>
      <c r="AI35" s="70" t="s">
        <v>163</v>
      </c>
      <c r="AJ35" s="70" t="s">
        <v>397</v>
      </c>
      <c r="AK35" s="70"/>
      <c r="AL35" s="70" t="s">
        <v>109</v>
      </c>
      <c r="AM35" s="70" t="s">
        <v>812</v>
      </c>
      <c r="AN35" s="70"/>
      <c r="AO35" s="70" t="str">
        <f>TEXT(60,"#,##0.#######")</f>
        <v>60.</v>
      </c>
      <c r="AP35" s="70"/>
      <c r="AQ35" s="70"/>
      <c r="AR35" s="70" t="s">
        <v>382</v>
      </c>
      <c r="AS35" s="70"/>
      <c r="AT35" s="70" t="str">
        <f>TEXT(ROUND((U22/R24+U22/R25+AW22/AT24+AW22/AT25)*AO35,2),"#,##0.#######")</f>
        <v>19.57</v>
      </c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5"/>
      <c r="CY35" s="75"/>
      <c r="CZ35" s="75"/>
      <c r="DA35" s="76"/>
      <c r="DB35" s="74"/>
    </row>
    <row r="36" spans="2:106" ht="11.25" customHeight="1" x14ac:dyDescent="0.2"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5"/>
      <c r="CY36" s="75"/>
      <c r="CZ36" s="75"/>
      <c r="DA36" s="76"/>
      <c r="DB36" s="74"/>
    </row>
    <row r="37" spans="2:106" ht="11.25" customHeight="1" x14ac:dyDescent="0.2">
      <c r="B37" s="69"/>
      <c r="C37" s="70"/>
      <c r="D37" s="70"/>
      <c r="E37" s="70"/>
      <c r="F37" s="70"/>
      <c r="G37" s="70" t="s">
        <v>854</v>
      </c>
      <c r="H37" s="70"/>
      <c r="I37" s="70"/>
      <c r="J37" s="70" t="s">
        <v>382</v>
      </c>
      <c r="K37" s="70"/>
      <c r="L37" s="70" t="str">
        <f>TEXT(0.8,"#,##0.#######")</f>
        <v>0.8</v>
      </c>
      <c r="M37" s="70"/>
      <c r="N37" s="70"/>
      <c r="O37" s="70"/>
      <c r="P37" s="70"/>
      <c r="Q37" s="70"/>
      <c r="R37" s="70"/>
      <c r="S37" s="70"/>
      <c r="T37" s="70" t="s">
        <v>278</v>
      </c>
      <c r="U37" s="70"/>
      <c r="V37" s="70"/>
      <c r="W37" s="70" t="s">
        <v>382</v>
      </c>
      <c r="X37" s="70"/>
      <c r="Y37" s="70" t="str">
        <f>TEXT(0.42,"#,##0.#######")</f>
        <v>0.42</v>
      </c>
      <c r="Z37" s="70"/>
      <c r="AA37" s="70"/>
      <c r="AB37" s="70"/>
      <c r="AC37" s="70"/>
      <c r="AD37" s="70"/>
      <c r="AE37" s="70"/>
      <c r="AF37" s="70"/>
      <c r="AG37" s="70"/>
      <c r="AH37" s="70" t="s">
        <v>789</v>
      </c>
      <c r="AI37" s="70"/>
      <c r="AJ37" s="70"/>
      <c r="AK37" s="70" t="s">
        <v>382</v>
      </c>
      <c r="AL37" s="70"/>
      <c r="AM37" s="70" t="str">
        <f>TEXT(0.5,"#,##0.#######")</f>
        <v>0.5</v>
      </c>
      <c r="AN37" s="70"/>
      <c r="AO37" s="70"/>
      <c r="AP37" s="70"/>
      <c r="AQ37" s="70"/>
      <c r="AR37" s="70"/>
      <c r="AS37" s="70"/>
      <c r="AT37" s="70"/>
      <c r="AU37" s="70" t="s">
        <v>415</v>
      </c>
      <c r="AV37" s="70"/>
      <c r="AW37" s="70"/>
      <c r="AX37" s="70" t="s">
        <v>382</v>
      </c>
      <c r="AY37" s="70"/>
      <c r="AZ37" s="70" t="str">
        <f>TEXT(1.5,"#,##0.#######")</f>
        <v>1.5</v>
      </c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5"/>
      <c r="CY37" s="75"/>
      <c r="CZ37" s="75"/>
      <c r="DA37" s="76"/>
      <c r="DB37" s="74"/>
    </row>
    <row r="38" spans="2:106" ht="11.25" customHeight="1" x14ac:dyDescent="0.2">
      <c r="B38" s="69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5"/>
      <c r="CY38" s="75"/>
      <c r="CZ38" s="75"/>
      <c r="DA38" s="76"/>
      <c r="DB38" s="74"/>
    </row>
    <row r="39" spans="2:106" ht="11.25" customHeight="1" x14ac:dyDescent="0.2">
      <c r="B39" s="69"/>
      <c r="C39" s="70"/>
      <c r="D39" s="70"/>
      <c r="E39" s="70"/>
      <c r="F39" s="70"/>
      <c r="G39" s="70" t="s">
        <v>133</v>
      </c>
      <c r="H39" s="70"/>
      <c r="I39" s="70"/>
      <c r="J39" s="70" t="s">
        <v>382</v>
      </c>
      <c r="K39" s="70"/>
      <c r="L39" s="70" t="s">
        <v>757</v>
      </c>
      <c r="M39" s="70"/>
      <c r="N39" s="70"/>
      <c r="O39" s="70" t="s">
        <v>199</v>
      </c>
      <c r="P39" s="70"/>
      <c r="Q39" s="70" t="s">
        <v>432</v>
      </c>
      <c r="R39" s="70"/>
      <c r="S39" s="70"/>
      <c r="T39" s="70" t="s">
        <v>199</v>
      </c>
      <c r="U39" s="70"/>
      <c r="V39" s="70" t="s">
        <v>854</v>
      </c>
      <c r="W39" s="70"/>
      <c r="X39" s="70"/>
      <c r="Y39" s="70" t="s">
        <v>199</v>
      </c>
      <c r="Z39" s="70"/>
      <c r="AA39" s="70" t="s">
        <v>278</v>
      </c>
      <c r="AB39" s="70"/>
      <c r="AC39" s="70"/>
      <c r="AD39" s="70" t="s">
        <v>199</v>
      </c>
      <c r="AE39" s="70"/>
      <c r="AF39" s="70" t="s">
        <v>789</v>
      </c>
      <c r="AG39" s="70"/>
      <c r="AH39" s="70"/>
      <c r="AI39" s="70" t="s">
        <v>199</v>
      </c>
      <c r="AJ39" s="70"/>
      <c r="AK39" s="70" t="s">
        <v>415</v>
      </c>
      <c r="AL39" s="70"/>
      <c r="AM39" s="70"/>
      <c r="AN39" s="70" t="s">
        <v>382</v>
      </c>
      <c r="AO39" s="70"/>
      <c r="AP39" s="70" t="str">
        <f>TEXT(ROUND(AL33+AT35+L37+Y37+AM37+AZ37,2),"#,##0.#######")</f>
        <v>31.85</v>
      </c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5"/>
      <c r="CY39" s="75"/>
      <c r="CZ39" s="75"/>
      <c r="DA39" s="76"/>
      <c r="DB39" s="74"/>
    </row>
    <row r="40" spans="2:106" ht="11.25" customHeight="1" x14ac:dyDescent="0.2">
      <c r="B40" s="69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  <c r="CX40" s="75"/>
      <c r="CY40" s="75"/>
      <c r="CZ40" s="75"/>
      <c r="DA40" s="76"/>
      <c r="DB40" s="74"/>
    </row>
    <row r="41" spans="2:106" ht="11.25" customHeight="1" x14ac:dyDescent="0.2">
      <c r="B41" s="69"/>
      <c r="C41" s="70"/>
      <c r="D41" s="70"/>
      <c r="E41" s="70"/>
      <c r="F41" s="70"/>
      <c r="G41" s="70" t="s">
        <v>572</v>
      </c>
      <c r="H41" s="70"/>
      <c r="I41" s="70"/>
      <c r="J41" s="70" t="s">
        <v>382</v>
      </c>
      <c r="K41" s="70"/>
      <c r="L41" s="70" t="s">
        <v>508</v>
      </c>
      <c r="M41" s="70" t="s">
        <v>133</v>
      </c>
      <c r="N41" s="70"/>
      <c r="O41" s="70" t="s">
        <v>30</v>
      </c>
      <c r="P41" s="70" t="s">
        <v>757</v>
      </c>
      <c r="Q41" s="70"/>
      <c r="R41" s="70" t="s">
        <v>109</v>
      </c>
      <c r="S41" s="70" t="s">
        <v>163</v>
      </c>
      <c r="T41" s="70" t="s">
        <v>133</v>
      </c>
      <c r="U41" s="70"/>
      <c r="V41" s="70"/>
      <c r="W41" s="70" t="s">
        <v>382</v>
      </c>
      <c r="X41" s="70"/>
      <c r="Y41" s="70" t="str">
        <f>TEXT(ROUND((AP39-AL33)/AP39,2),"#,##0.#######")</f>
        <v>0.72</v>
      </c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5"/>
      <c r="CY41" s="75"/>
      <c r="CZ41" s="75"/>
      <c r="DA41" s="76"/>
      <c r="DB41" s="74"/>
    </row>
    <row r="42" spans="2:106" ht="11.25" customHeight="1" x14ac:dyDescent="0.2">
      <c r="B42" s="69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  <c r="CX42" s="75"/>
      <c r="CY42" s="75"/>
      <c r="CZ42" s="75"/>
      <c r="DA42" s="76"/>
      <c r="DB42" s="74"/>
    </row>
    <row r="43" spans="2:106" ht="11.25" customHeight="1" x14ac:dyDescent="0.2">
      <c r="B43" s="69"/>
      <c r="C43" s="70"/>
      <c r="D43" s="70"/>
      <c r="E43" s="70"/>
      <c r="F43" s="70"/>
      <c r="G43" s="70" t="s">
        <v>65</v>
      </c>
      <c r="H43" s="70"/>
      <c r="I43" s="70" t="s">
        <v>382</v>
      </c>
      <c r="J43" s="70" t="s">
        <v>508</v>
      </c>
      <c r="K43" s="70" t="str">
        <f>TEXT(60,"#,##0.#######")</f>
        <v>60.</v>
      </c>
      <c r="L43" s="70"/>
      <c r="M43" s="70" t="s">
        <v>812</v>
      </c>
      <c r="N43" s="70"/>
      <c r="O43" s="70" t="s">
        <v>813</v>
      </c>
      <c r="P43" s="70" t="s">
        <v>812</v>
      </c>
      <c r="Q43" s="70"/>
      <c r="R43" s="70" t="s">
        <v>112</v>
      </c>
      <c r="S43" s="70" t="s">
        <v>812</v>
      </c>
      <c r="T43" s="70"/>
      <c r="U43" s="70" t="s">
        <v>419</v>
      </c>
      <c r="V43" s="70" t="s">
        <v>109</v>
      </c>
      <c r="W43" s="70"/>
      <c r="X43" s="70" t="s">
        <v>163</v>
      </c>
      <c r="Y43" s="70"/>
      <c r="Z43" s="70"/>
      <c r="AA43" s="70"/>
      <c r="AB43" s="70"/>
      <c r="AC43" s="70"/>
      <c r="AD43" s="70" t="s">
        <v>133</v>
      </c>
      <c r="AE43" s="70"/>
      <c r="AF43" s="70"/>
      <c r="AG43" s="70"/>
      <c r="AH43" s="70" t="s">
        <v>382</v>
      </c>
      <c r="AI43" s="70"/>
      <c r="AJ43" s="70" t="str">
        <f>TEXT(ROUND((K43*V29*AZ8*BK27)/AP39,2),"#,##0.#######")</f>
        <v>25.23</v>
      </c>
      <c r="AK43" s="70"/>
      <c r="AL43" s="70"/>
      <c r="AM43" s="70"/>
      <c r="AN43" s="70"/>
      <c r="AO43" s="70"/>
      <c r="AP43" s="70"/>
      <c r="AQ43" s="70"/>
      <c r="AR43" s="70" t="s">
        <v>690</v>
      </c>
      <c r="AS43" s="70"/>
      <c r="AT43" s="70" t="s">
        <v>163</v>
      </c>
      <c r="AU43" s="70" t="s">
        <v>717</v>
      </c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5"/>
      <c r="CY43" s="75"/>
      <c r="CZ43" s="75"/>
      <c r="DA43" s="76"/>
      <c r="DB43" s="74"/>
    </row>
    <row r="44" spans="2:106" ht="11.25" customHeight="1" x14ac:dyDescent="0.2">
      <c r="B44" s="69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5"/>
      <c r="CY44" s="75"/>
      <c r="CZ44" s="75"/>
      <c r="DA44" s="76"/>
      <c r="DB44" s="74"/>
    </row>
    <row r="45" spans="2:106" ht="11.25" customHeight="1" x14ac:dyDescent="0.2">
      <c r="B45" s="69"/>
      <c r="C45" s="70"/>
      <c r="D45" s="70"/>
      <c r="E45" s="70"/>
      <c r="F45" s="70"/>
      <c r="G45" s="70"/>
      <c r="H45" s="70" t="s">
        <v>815</v>
      </c>
      <c r="I45" s="70"/>
      <c r="J45" s="70"/>
      <c r="K45" s="70"/>
      <c r="L45" s="70"/>
      <c r="M45" s="70"/>
      <c r="N45" s="70"/>
      <c r="O45" s="70" t="s">
        <v>721</v>
      </c>
      <c r="P45" s="70"/>
      <c r="Q45" s="70"/>
      <c r="R45" s="70" t="str">
        <f>TEXT(기계경비총괄표!G18,"#,##0")</f>
        <v>55,699</v>
      </c>
      <c r="S45" s="70"/>
      <c r="T45" s="70"/>
      <c r="U45" s="70"/>
      <c r="V45" s="70"/>
      <c r="W45" s="70"/>
      <c r="X45" s="70"/>
      <c r="Y45" s="70"/>
      <c r="Z45" s="70"/>
      <c r="AA45" s="70" t="s">
        <v>163</v>
      </c>
      <c r="AB45" s="70"/>
      <c r="AC45" s="70" t="str">
        <f>TEXT(AJ43,"#,##0.#######")</f>
        <v>25.23</v>
      </c>
      <c r="AD45" s="70"/>
      <c r="AE45" s="70"/>
      <c r="AF45" s="70"/>
      <c r="AG45" s="70"/>
      <c r="AH45" s="70"/>
      <c r="AI45" s="70"/>
      <c r="AJ45" s="70"/>
      <c r="AK45" s="70" t="s">
        <v>382</v>
      </c>
      <c r="AL45" s="70"/>
      <c r="AM45" s="70" t="str">
        <f>TEXT(TRUNC(R45/AJ43,1),"#,##0.#")</f>
        <v>2,207.6</v>
      </c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5"/>
      <c r="CY45" s="75"/>
      <c r="CZ45" s="75"/>
      <c r="DA45" s="76"/>
      <c r="DB45" s="74"/>
    </row>
    <row r="46" spans="2:106" ht="11.25" customHeight="1" x14ac:dyDescent="0.2">
      <c r="B46" s="69"/>
      <c r="C46" s="70"/>
      <c r="D46" s="70"/>
      <c r="E46" s="70"/>
      <c r="F46" s="70"/>
      <c r="G46" s="70"/>
      <c r="H46" s="70" t="s">
        <v>590</v>
      </c>
      <c r="I46" s="70"/>
      <c r="J46" s="70"/>
      <c r="K46" s="70"/>
      <c r="L46" s="70"/>
      <c r="M46" s="70"/>
      <c r="N46" s="70"/>
      <c r="O46" s="70" t="s">
        <v>721</v>
      </c>
      <c r="P46" s="70"/>
      <c r="Q46" s="70"/>
      <c r="R46" s="70" t="str">
        <f>TEXT(기계경비총괄표!H18,"#,##0")</f>
        <v>39,008</v>
      </c>
      <c r="S46" s="70"/>
      <c r="T46" s="70"/>
      <c r="U46" s="70"/>
      <c r="V46" s="70"/>
      <c r="W46" s="70"/>
      <c r="X46" s="70"/>
      <c r="Y46" s="70"/>
      <c r="Z46" s="70"/>
      <c r="AA46" s="70" t="s">
        <v>163</v>
      </c>
      <c r="AB46" s="70"/>
      <c r="AC46" s="70" t="str">
        <f>TEXT(AJ43,"#,##0.#######")</f>
        <v>25.23</v>
      </c>
      <c r="AD46" s="70"/>
      <c r="AE46" s="70"/>
      <c r="AF46" s="70"/>
      <c r="AG46" s="70"/>
      <c r="AH46" s="70"/>
      <c r="AI46" s="70"/>
      <c r="AJ46" s="70"/>
      <c r="AK46" s="70" t="s">
        <v>812</v>
      </c>
      <c r="AL46" s="70"/>
      <c r="AM46" s="70"/>
      <c r="AN46" s="70" t="s">
        <v>572</v>
      </c>
      <c r="AO46" s="70"/>
      <c r="AP46" s="70"/>
      <c r="AQ46" s="70" t="s">
        <v>382</v>
      </c>
      <c r="AR46" s="70"/>
      <c r="AS46" s="70" t="str">
        <f>TEXT(TRUNC(R46/AJ43*Y41,1),"#,##0.#")</f>
        <v>1,113.1</v>
      </c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  <c r="CX46" s="75"/>
      <c r="CY46" s="75"/>
      <c r="CZ46" s="75"/>
      <c r="DA46" s="76"/>
      <c r="DB46" s="74"/>
    </row>
    <row r="47" spans="2:106" ht="11.25" customHeight="1" x14ac:dyDescent="0.2">
      <c r="B47" s="69"/>
      <c r="C47" s="70"/>
      <c r="D47" s="70"/>
      <c r="E47" s="70"/>
      <c r="F47" s="70"/>
      <c r="G47" s="70"/>
      <c r="H47" s="70" t="s">
        <v>213</v>
      </c>
      <c r="I47" s="70"/>
      <c r="J47" s="70"/>
      <c r="K47" s="70"/>
      <c r="L47" s="70" t="s">
        <v>522</v>
      </c>
      <c r="M47" s="70"/>
      <c r="N47" s="70"/>
      <c r="O47" s="70" t="s">
        <v>721</v>
      </c>
      <c r="P47" s="70"/>
      <c r="Q47" s="70"/>
      <c r="R47" s="70" t="str">
        <f>TEXT(기계경비총괄표!I18,"#,##0")</f>
        <v>31,887</v>
      </c>
      <c r="S47" s="70"/>
      <c r="T47" s="70"/>
      <c r="U47" s="70"/>
      <c r="V47" s="70"/>
      <c r="W47" s="70"/>
      <c r="X47" s="70"/>
      <c r="Y47" s="70"/>
      <c r="Z47" s="70"/>
      <c r="AA47" s="70" t="s">
        <v>163</v>
      </c>
      <c r="AB47" s="70"/>
      <c r="AC47" s="70" t="str">
        <f>TEXT(AJ43,"#,##0.#######")</f>
        <v>25.23</v>
      </c>
      <c r="AD47" s="70"/>
      <c r="AE47" s="70"/>
      <c r="AF47" s="70"/>
      <c r="AG47" s="70"/>
      <c r="AH47" s="70"/>
      <c r="AI47" s="70"/>
      <c r="AJ47" s="70"/>
      <c r="AK47" s="70" t="s">
        <v>382</v>
      </c>
      <c r="AL47" s="70"/>
      <c r="AM47" s="70" t="str">
        <f>TEXT(TRUNC(R47/AJ43,1),"#,##0.#")</f>
        <v>1,263.8</v>
      </c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5"/>
      <c r="CY47" s="75"/>
      <c r="CZ47" s="75"/>
      <c r="DA47" s="76"/>
      <c r="DB47" s="74"/>
    </row>
    <row r="48" spans="2:106" ht="11.25" customHeight="1" x14ac:dyDescent="0.2">
      <c r="B48" s="69"/>
      <c r="C48" s="70"/>
      <c r="D48" s="70"/>
      <c r="E48" s="70"/>
      <c r="F48" s="70"/>
      <c r="G48" s="70"/>
      <c r="H48" s="70" t="s">
        <v>372</v>
      </c>
      <c r="I48" s="70"/>
      <c r="J48" s="70"/>
      <c r="K48" s="70"/>
      <c r="L48" s="70" t="s">
        <v>511</v>
      </c>
      <c r="M48" s="70"/>
      <c r="N48" s="70"/>
      <c r="O48" s="70" t="s">
        <v>721</v>
      </c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 t="str">
        <f>TEXT(AM45+AS46+AM47,"#,##0.#######")</f>
        <v>4,584.5</v>
      </c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  <c r="CW48" s="70"/>
      <c r="CX48" s="75">
        <f>CY48+CZ48+DA48</f>
        <v>4584.5</v>
      </c>
      <c r="CY48" s="75" t="str">
        <f>TEXT(AM45,"#,###.0")</f>
        <v>2,207.6</v>
      </c>
      <c r="CZ48" s="75" t="str">
        <f>TEXT(AS46,"#,###.0")</f>
        <v>1,113.1</v>
      </c>
      <c r="DA48" s="76" t="str">
        <f>TEXT(AM47,"#,###.0")</f>
        <v>1,263.8</v>
      </c>
      <c r="DB48" s="74"/>
    </row>
    <row r="49" spans="2:106" ht="11.25" customHeight="1" x14ac:dyDescent="0.2">
      <c r="B49" s="69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0"/>
      <c r="CW49" s="70"/>
      <c r="CX49" s="75"/>
      <c r="CY49" s="75"/>
      <c r="CZ49" s="75"/>
      <c r="DA49" s="76"/>
      <c r="DB49" s="74"/>
    </row>
    <row r="50" spans="2:106" s="83" customFormat="1" ht="11.25" customHeight="1" x14ac:dyDescent="0.2">
      <c r="B50" s="78"/>
      <c r="C50" s="79"/>
      <c r="D50" s="79"/>
      <c r="E50" s="79" t="s">
        <v>958</v>
      </c>
      <c r="F50" s="79"/>
      <c r="G50" s="79"/>
      <c r="H50" s="79" t="s">
        <v>888</v>
      </c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 t="s">
        <v>721</v>
      </c>
      <c r="T50" s="79"/>
      <c r="U50" s="79" t="s">
        <v>113</v>
      </c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 t="s">
        <v>193</v>
      </c>
      <c r="AQ50" s="79"/>
      <c r="AR50" s="79"/>
      <c r="AS50" s="79"/>
      <c r="AT50" s="79"/>
      <c r="AU50" s="79"/>
      <c r="AV50" s="79"/>
      <c r="AW50" s="79"/>
      <c r="AX50" s="79"/>
      <c r="AY50" s="79"/>
      <c r="AZ50" s="79" t="s">
        <v>508</v>
      </c>
      <c r="BA50" s="79" t="s">
        <v>279</v>
      </c>
      <c r="BB50" s="79" t="s">
        <v>163</v>
      </c>
      <c r="BC50" s="79" t="s">
        <v>384</v>
      </c>
      <c r="BD50" s="79" t="s">
        <v>351</v>
      </c>
      <c r="BE50" s="79"/>
      <c r="BF50" s="79"/>
      <c r="BG50" s="79"/>
      <c r="BH50" s="79" t="s">
        <v>109</v>
      </c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80"/>
      <c r="CY50" s="80"/>
      <c r="CZ50" s="80"/>
      <c r="DA50" s="81"/>
      <c r="DB50" s="82"/>
    </row>
    <row r="51" spans="2:106" ht="11.25" customHeight="1" x14ac:dyDescent="0.2">
      <c r="B51" s="69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  <c r="CW51" s="70"/>
      <c r="CX51" s="75"/>
      <c r="CY51" s="75"/>
      <c r="CZ51" s="75"/>
      <c r="DA51" s="76"/>
      <c r="DB51" s="74"/>
    </row>
    <row r="52" spans="2:106" ht="11.25" customHeight="1" x14ac:dyDescent="0.2">
      <c r="B52" s="69"/>
      <c r="C52" s="70"/>
      <c r="D52" s="70"/>
      <c r="E52" s="70"/>
      <c r="F52" s="70"/>
      <c r="G52" s="70" t="s">
        <v>761</v>
      </c>
      <c r="H52" s="70"/>
      <c r="I52" s="70" t="s">
        <v>382</v>
      </c>
      <c r="J52" s="70"/>
      <c r="K52" s="70" t="str">
        <f>TEXT(20,"#,##0.#######")</f>
        <v>20.</v>
      </c>
      <c r="L52" s="70"/>
      <c r="M52" s="70"/>
      <c r="N52" s="70"/>
      <c r="O52" s="70" t="s">
        <v>566</v>
      </c>
      <c r="P52" s="70"/>
      <c r="Q52" s="70" t="s">
        <v>543</v>
      </c>
      <c r="R52" s="70"/>
      <c r="S52" s="70"/>
      <c r="T52" s="70"/>
      <c r="U52" s="70"/>
      <c r="V52" s="70" t="s">
        <v>419</v>
      </c>
      <c r="W52" s="70"/>
      <c r="X52" s="70" t="s">
        <v>382</v>
      </c>
      <c r="Y52" s="70"/>
      <c r="Z52" s="70" t="str">
        <f>TEXT(0.7,"#,##0.#######")</f>
        <v>0.7</v>
      </c>
      <c r="AA52" s="70"/>
      <c r="AB52" s="70"/>
      <c r="AC52" s="70"/>
      <c r="AD52" s="70"/>
      <c r="AE52" s="70"/>
      <c r="AF52" s="70"/>
      <c r="AG52" s="70"/>
      <c r="AH52" s="70" t="s">
        <v>112</v>
      </c>
      <c r="AI52" s="70"/>
      <c r="AJ52" s="70" t="s">
        <v>382</v>
      </c>
      <c r="AK52" s="70"/>
      <c r="AL52" s="70" t="str">
        <f>TEXT(1,"#,##0.#######")</f>
        <v>1.</v>
      </c>
      <c r="AM52" s="70" t="s">
        <v>163</v>
      </c>
      <c r="AN52" s="70" t="str">
        <f>TEXT(1.24,"#,##0.#######")</f>
        <v>1.24</v>
      </c>
      <c r="AO52" s="70"/>
      <c r="AP52" s="70"/>
      <c r="AQ52" s="70"/>
      <c r="AR52" s="70"/>
      <c r="AS52" s="70" t="s">
        <v>382</v>
      </c>
      <c r="AT52" s="70"/>
      <c r="AU52" s="70" t="str">
        <f>TEXT(ROUND(AL52/AN52,2),"#,##0.#######")</f>
        <v>0.81</v>
      </c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  <c r="CW52" s="70"/>
      <c r="CX52" s="75"/>
      <c r="CY52" s="75"/>
      <c r="CZ52" s="75"/>
      <c r="DA52" s="76"/>
      <c r="DB52" s="74"/>
    </row>
    <row r="53" spans="2:106" ht="11.25" customHeight="1" x14ac:dyDescent="0.2">
      <c r="B53" s="69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  <c r="CX53" s="75"/>
      <c r="CY53" s="75"/>
      <c r="CZ53" s="75"/>
      <c r="DA53" s="76"/>
      <c r="DB53" s="74"/>
    </row>
    <row r="54" spans="2:106" ht="11.25" customHeight="1" x14ac:dyDescent="0.2">
      <c r="B54" s="69"/>
      <c r="C54" s="70"/>
      <c r="D54" s="70"/>
      <c r="E54" s="70"/>
      <c r="F54" s="70"/>
      <c r="G54" s="70" t="s">
        <v>484</v>
      </c>
      <c r="H54" s="70"/>
      <c r="I54" s="70"/>
      <c r="J54" s="70" t="s">
        <v>382</v>
      </c>
      <c r="K54" s="70"/>
      <c r="L54" s="70" t="str">
        <f>TEXT(5.5,"#,##0.#######")</f>
        <v>5.5</v>
      </c>
      <c r="M54" s="70"/>
      <c r="N54" s="70"/>
      <c r="O54" s="70"/>
      <c r="P54" s="70"/>
      <c r="Q54" s="70"/>
      <c r="R54" s="70"/>
      <c r="S54" s="70"/>
      <c r="T54" s="70" t="s">
        <v>783</v>
      </c>
      <c r="U54" s="70"/>
      <c r="V54" s="70" t="s">
        <v>382</v>
      </c>
      <c r="W54" s="70"/>
      <c r="X54" s="70" t="str">
        <f>TEXT(0.96,"#,##0.#######")</f>
        <v>0.96</v>
      </c>
      <c r="Y54" s="70"/>
      <c r="Z54" s="70"/>
      <c r="AA54" s="70"/>
      <c r="AB54" s="70"/>
      <c r="AC54" s="70"/>
      <c r="AD54" s="70"/>
      <c r="AE54" s="70"/>
      <c r="AF54" s="70" t="s">
        <v>865</v>
      </c>
      <c r="AG54" s="70"/>
      <c r="AH54" s="70"/>
      <c r="AI54" s="70" t="s">
        <v>382</v>
      </c>
      <c r="AJ54" s="70"/>
      <c r="AK54" s="70" t="str">
        <f>TEXT(70,"#,##0.#######")</f>
        <v>70.</v>
      </c>
      <c r="AL54" s="70"/>
      <c r="AM54" s="70"/>
      <c r="AN54" s="70"/>
      <c r="AO54" s="70"/>
      <c r="AP54" s="70"/>
      <c r="AQ54" s="70"/>
      <c r="AR54" s="70" t="s">
        <v>320</v>
      </c>
      <c r="AS54" s="70"/>
      <c r="AT54" s="70"/>
      <c r="AU54" s="70" t="s">
        <v>382</v>
      </c>
      <c r="AV54" s="70"/>
      <c r="AW54" s="70" t="str">
        <f>TEXT(78,"#,##0.#######")</f>
        <v>78.</v>
      </c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  <c r="CX54" s="75"/>
      <c r="CY54" s="75"/>
      <c r="CZ54" s="75"/>
      <c r="DA54" s="76"/>
      <c r="DB54" s="74"/>
    </row>
    <row r="55" spans="2:106" ht="11.25" customHeight="1" x14ac:dyDescent="0.2">
      <c r="B55" s="69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  <c r="CW55" s="70"/>
      <c r="CX55" s="75"/>
      <c r="CY55" s="75"/>
      <c r="CZ55" s="75"/>
      <c r="DA55" s="76"/>
      <c r="DB55" s="74"/>
    </row>
    <row r="56" spans="2:106" ht="11.25" customHeight="1" x14ac:dyDescent="0.2">
      <c r="B56" s="69"/>
      <c r="C56" s="70"/>
      <c r="D56" s="70"/>
      <c r="E56" s="70"/>
      <c r="F56" s="70"/>
      <c r="G56" s="70" t="s">
        <v>813</v>
      </c>
      <c r="H56" s="70"/>
      <c r="I56" s="70" t="s">
        <v>382</v>
      </c>
      <c r="J56" s="70"/>
      <c r="K56" s="70" t="s">
        <v>484</v>
      </c>
      <c r="L56" s="70"/>
      <c r="M56" s="70" t="s">
        <v>812</v>
      </c>
      <c r="N56" s="70"/>
      <c r="O56" s="70" t="s">
        <v>783</v>
      </c>
      <c r="P56" s="70"/>
      <c r="Q56" s="70" t="s">
        <v>382</v>
      </c>
      <c r="R56" s="70"/>
      <c r="S56" s="70" t="str">
        <f>TEXT(ROUND(L54*X54,2),"#,##0.#######")</f>
        <v>5.28</v>
      </c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5"/>
      <c r="CY56" s="75"/>
      <c r="CZ56" s="75"/>
      <c r="DA56" s="76"/>
      <c r="DB56" s="74"/>
    </row>
    <row r="57" spans="2:106" ht="11.25" customHeight="1" x14ac:dyDescent="0.2">
      <c r="B57" s="69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5"/>
      <c r="CY57" s="75"/>
      <c r="CZ57" s="75"/>
      <c r="DA57" s="76"/>
      <c r="DB57" s="74"/>
    </row>
    <row r="58" spans="2:106" ht="11.25" customHeight="1" x14ac:dyDescent="0.2">
      <c r="B58" s="69"/>
      <c r="C58" s="70"/>
      <c r="D58" s="70"/>
      <c r="E58" s="70"/>
      <c r="F58" s="70"/>
      <c r="G58" s="70" t="s">
        <v>133</v>
      </c>
      <c r="H58" s="70"/>
      <c r="I58" s="70"/>
      <c r="J58" s="70" t="s">
        <v>382</v>
      </c>
      <c r="K58" s="70"/>
      <c r="L58" s="70" t="s">
        <v>761</v>
      </c>
      <c r="M58" s="70" t="s">
        <v>163</v>
      </c>
      <c r="N58" s="70" t="s">
        <v>865</v>
      </c>
      <c r="O58" s="70"/>
      <c r="P58" s="70"/>
      <c r="Q58" s="70" t="s">
        <v>199</v>
      </c>
      <c r="R58" s="70"/>
      <c r="S58" s="70" t="s">
        <v>761</v>
      </c>
      <c r="T58" s="70" t="s">
        <v>163</v>
      </c>
      <c r="U58" s="70" t="s">
        <v>320</v>
      </c>
      <c r="V58" s="70"/>
      <c r="W58" s="70"/>
      <c r="X58" s="70" t="s">
        <v>199</v>
      </c>
      <c r="Y58" s="70"/>
      <c r="Z58" s="70" t="str">
        <f>TEXT(0.25,"#,##0.#######")</f>
        <v>0.25</v>
      </c>
      <c r="AA58" s="70"/>
      <c r="AB58" s="70"/>
      <c r="AC58" s="70"/>
      <c r="AD58" s="70"/>
      <c r="AE58" s="70" t="s">
        <v>382</v>
      </c>
      <c r="AF58" s="70"/>
      <c r="AG58" s="70" t="str">
        <f>TEXT(ROUND(K52/AK54+K52/AW54+Z58,2),"#,##0.#######")</f>
        <v>0.79</v>
      </c>
      <c r="AH58" s="70"/>
      <c r="AI58" s="70"/>
      <c r="AJ58" s="70"/>
      <c r="AK58" s="70"/>
      <c r="AL58" s="70"/>
      <c r="AM58" s="70" t="s">
        <v>483</v>
      </c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5"/>
      <c r="CY58" s="75"/>
      <c r="CZ58" s="75"/>
      <c r="DA58" s="76"/>
      <c r="DB58" s="74"/>
    </row>
    <row r="59" spans="2:106" ht="11.25" customHeight="1" x14ac:dyDescent="0.2">
      <c r="B59" s="69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  <c r="CW59" s="70"/>
      <c r="CX59" s="75"/>
      <c r="CY59" s="75"/>
      <c r="CZ59" s="75"/>
      <c r="DA59" s="76"/>
      <c r="DB59" s="74"/>
    </row>
    <row r="60" spans="2:106" ht="11.25" customHeight="1" x14ac:dyDescent="0.2">
      <c r="B60" s="69"/>
      <c r="C60" s="70"/>
      <c r="D60" s="70"/>
      <c r="E60" s="70"/>
      <c r="F60" s="70"/>
      <c r="G60" s="70" t="s">
        <v>65</v>
      </c>
      <c r="H60" s="70"/>
      <c r="I60" s="70" t="s">
        <v>382</v>
      </c>
      <c r="J60" s="70" t="s">
        <v>508</v>
      </c>
      <c r="K60" s="70" t="str">
        <f>TEXT(60,"#,##0.#######")</f>
        <v>60.</v>
      </c>
      <c r="L60" s="70"/>
      <c r="M60" s="70" t="s">
        <v>812</v>
      </c>
      <c r="N60" s="70"/>
      <c r="O60" s="70" t="s">
        <v>813</v>
      </c>
      <c r="P60" s="70" t="s">
        <v>812</v>
      </c>
      <c r="Q60" s="70"/>
      <c r="R60" s="70" t="s">
        <v>112</v>
      </c>
      <c r="S60" s="70" t="s">
        <v>812</v>
      </c>
      <c r="T60" s="70"/>
      <c r="U60" s="70" t="s">
        <v>419</v>
      </c>
      <c r="V60" s="70" t="s">
        <v>109</v>
      </c>
      <c r="W60" s="70"/>
      <c r="X60" s="70" t="s">
        <v>163</v>
      </c>
      <c r="Y60" s="70"/>
      <c r="Z60" s="70"/>
      <c r="AA60" s="70"/>
      <c r="AB60" s="70"/>
      <c r="AC60" s="70"/>
      <c r="AD60" s="70" t="s">
        <v>133</v>
      </c>
      <c r="AE60" s="70"/>
      <c r="AF60" s="70"/>
      <c r="AG60" s="70"/>
      <c r="AH60" s="70" t="s">
        <v>382</v>
      </c>
      <c r="AI60" s="70"/>
      <c r="AJ60" s="70" t="str">
        <f>TEXT(ROUND((K60*S56*AU52*Z52)/AG58,2),"#,##0.#######")</f>
        <v>227.37</v>
      </c>
      <c r="AK60" s="70"/>
      <c r="AL60" s="70"/>
      <c r="AM60" s="70"/>
      <c r="AN60" s="70"/>
      <c r="AO60" s="70"/>
      <c r="AP60" s="70"/>
      <c r="AQ60" s="70"/>
      <c r="AR60" s="70"/>
      <c r="AS60" s="70" t="s">
        <v>690</v>
      </c>
      <c r="AT60" s="70"/>
      <c r="AU60" s="70" t="s">
        <v>163</v>
      </c>
      <c r="AV60" s="70" t="s">
        <v>717</v>
      </c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5"/>
      <c r="CY60" s="75"/>
      <c r="CZ60" s="75"/>
      <c r="DA60" s="76"/>
      <c r="DB60" s="74"/>
    </row>
    <row r="61" spans="2:106" ht="11.25" customHeight="1" x14ac:dyDescent="0.2"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0"/>
      <c r="CA61" s="70"/>
      <c r="CB61" s="70"/>
      <c r="CC61" s="70"/>
      <c r="CD61" s="70"/>
      <c r="CE61" s="70"/>
      <c r="CF61" s="70"/>
      <c r="CG61" s="70"/>
      <c r="CH61" s="70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  <c r="CW61" s="70"/>
      <c r="CX61" s="75"/>
      <c r="CY61" s="75"/>
      <c r="CZ61" s="75"/>
      <c r="DA61" s="76"/>
      <c r="DB61" s="74"/>
    </row>
    <row r="62" spans="2:106" ht="11.25" customHeight="1" x14ac:dyDescent="0.2">
      <c r="B62" s="69"/>
      <c r="C62" s="70"/>
      <c r="D62" s="70"/>
      <c r="E62" s="70"/>
      <c r="F62" s="70"/>
      <c r="G62" s="70"/>
      <c r="H62" s="70" t="s">
        <v>815</v>
      </c>
      <c r="I62" s="70"/>
      <c r="J62" s="70"/>
      <c r="K62" s="70"/>
      <c r="L62" s="70"/>
      <c r="M62" s="70"/>
      <c r="N62" s="70"/>
      <c r="O62" s="70" t="s">
        <v>721</v>
      </c>
      <c r="P62" s="70"/>
      <c r="Q62" s="70"/>
      <c r="R62" s="70" t="str">
        <f>TEXT(기계경비총괄표!G4,"#,##0")</f>
        <v>55,699</v>
      </c>
      <c r="S62" s="70"/>
      <c r="T62" s="70"/>
      <c r="U62" s="70"/>
      <c r="V62" s="70"/>
      <c r="W62" s="70"/>
      <c r="X62" s="70"/>
      <c r="Y62" s="70"/>
      <c r="Z62" s="70"/>
      <c r="AA62" s="70" t="s">
        <v>163</v>
      </c>
      <c r="AB62" s="70"/>
      <c r="AC62" s="70" t="str">
        <f>TEXT(AJ60,"#,##0.#######")</f>
        <v>227.37</v>
      </c>
      <c r="AD62" s="70"/>
      <c r="AE62" s="70"/>
      <c r="AF62" s="70"/>
      <c r="AG62" s="70"/>
      <c r="AH62" s="70"/>
      <c r="AI62" s="70"/>
      <c r="AJ62" s="70"/>
      <c r="AK62" s="70"/>
      <c r="AL62" s="70" t="s">
        <v>812</v>
      </c>
      <c r="AM62" s="70"/>
      <c r="AN62" s="70" t="str">
        <f>TEXT(1,"#,##0.#######")</f>
        <v>1.</v>
      </c>
      <c r="AO62" s="70" t="s">
        <v>163</v>
      </c>
      <c r="AP62" s="70" t="str">
        <f>TEXT(3,"#,##0.#######")</f>
        <v>3.</v>
      </c>
      <c r="AQ62" s="70"/>
      <c r="AR62" s="70" t="s">
        <v>382</v>
      </c>
      <c r="AS62" s="70"/>
      <c r="AT62" s="70"/>
      <c r="AU62" s="70" t="str">
        <f>TEXT(TRUNC(R62/AJ60*AN62/AP62,1),"#,##0.#")</f>
        <v>81.6</v>
      </c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5"/>
      <c r="CY62" s="75"/>
      <c r="CZ62" s="75"/>
      <c r="DA62" s="76"/>
      <c r="DB62" s="74"/>
    </row>
    <row r="63" spans="2:106" ht="11.25" customHeight="1" x14ac:dyDescent="0.2">
      <c r="B63" s="69"/>
      <c r="C63" s="70"/>
      <c r="D63" s="70"/>
      <c r="E63" s="70"/>
      <c r="F63" s="70"/>
      <c r="G63" s="70"/>
      <c r="H63" s="70" t="s">
        <v>590</v>
      </c>
      <c r="I63" s="70"/>
      <c r="J63" s="70"/>
      <c r="K63" s="70"/>
      <c r="L63" s="70"/>
      <c r="M63" s="70"/>
      <c r="N63" s="70"/>
      <c r="O63" s="70" t="s">
        <v>721</v>
      </c>
      <c r="P63" s="70"/>
      <c r="Q63" s="70"/>
      <c r="R63" s="70" t="str">
        <f>TEXT(기계경비총괄표!H4,"#,##0")</f>
        <v>59,306</v>
      </c>
      <c r="S63" s="70"/>
      <c r="T63" s="70"/>
      <c r="U63" s="70"/>
      <c r="V63" s="70"/>
      <c r="W63" s="70"/>
      <c r="X63" s="70"/>
      <c r="Y63" s="70"/>
      <c r="Z63" s="70"/>
      <c r="AA63" s="70" t="s">
        <v>163</v>
      </c>
      <c r="AB63" s="70"/>
      <c r="AC63" s="70" t="str">
        <f>TEXT(AJ60,"#,##0.#######")</f>
        <v>227.37</v>
      </c>
      <c r="AD63" s="70"/>
      <c r="AE63" s="70"/>
      <c r="AF63" s="70"/>
      <c r="AG63" s="70"/>
      <c r="AH63" s="70"/>
      <c r="AI63" s="70"/>
      <c r="AJ63" s="70"/>
      <c r="AK63" s="70"/>
      <c r="AL63" s="70" t="s">
        <v>812</v>
      </c>
      <c r="AM63" s="70"/>
      <c r="AN63" s="70" t="str">
        <f>TEXT(1,"#,##0.#######")</f>
        <v>1.</v>
      </c>
      <c r="AO63" s="70" t="s">
        <v>163</v>
      </c>
      <c r="AP63" s="70" t="str">
        <f>TEXT(3,"#,##0.#######")</f>
        <v>3.</v>
      </c>
      <c r="AQ63" s="70"/>
      <c r="AR63" s="70" t="s">
        <v>382</v>
      </c>
      <c r="AS63" s="70"/>
      <c r="AT63" s="70"/>
      <c r="AU63" s="70" t="str">
        <f>TEXT(TRUNC(R63/AJ60*AN63/AP63,1),"#,##0.#")</f>
        <v>86.9</v>
      </c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5"/>
      <c r="CY63" s="75"/>
      <c r="CZ63" s="75"/>
      <c r="DA63" s="76"/>
      <c r="DB63" s="74"/>
    </row>
    <row r="64" spans="2:106" ht="11.25" customHeight="1" x14ac:dyDescent="0.2">
      <c r="B64" s="69"/>
      <c r="C64" s="70"/>
      <c r="D64" s="70"/>
      <c r="E64" s="70"/>
      <c r="F64" s="70"/>
      <c r="G64" s="70"/>
      <c r="H64" s="70" t="s">
        <v>213</v>
      </c>
      <c r="I64" s="70"/>
      <c r="J64" s="70"/>
      <c r="K64" s="70"/>
      <c r="L64" s="70" t="s">
        <v>522</v>
      </c>
      <c r="M64" s="70"/>
      <c r="N64" s="70"/>
      <c r="O64" s="70" t="s">
        <v>721</v>
      </c>
      <c r="P64" s="70"/>
      <c r="Q64" s="70"/>
      <c r="R64" s="70" t="str">
        <f>TEXT(기계경비총괄표!I4,"#,##0")</f>
        <v>44,983</v>
      </c>
      <c r="S64" s="70"/>
      <c r="T64" s="70"/>
      <c r="U64" s="70"/>
      <c r="V64" s="70"/>
      <c r="W64" s="70"/>
      <c r="X64" s="70"/>
      <c r="Y64" s="70"/>
      <c r="Z64" s="70"/>
      <c r="AA64" s="70" t="s">
        <v>163</v>
      </c>
      <c r="AB64" s="70"/>
      <c r="AC64" s="70" t="str">
        <f>TEXT(AJ60,"#,##0.#######")</f>
        <v>227.37</v>
      </c>
      <c r="AD64" s="70"/>
      <c r="AE64" s="70"/>
      <c r="AF64" s="70"/>
      <c r="AG64" s="70"/>
      <c r="AH64" s="70"/>
      <c r="AI64" s="70"/>
      <c r="AJ64" s="70"/>
      <c r="AK64" s="70"/>
      <c r="AL64" s="70" t="s">
        <v>812</v>
      </c>
      <c r="AM64" s="70"/>
      <c r="AN64" s="70" t="str">
        <f>TEXT(1,"#,##0.#######")</f>
        <v>1.</v>
      </c>
      <c r="AO64" s="70" t="s">
        <v>163</v>
      </c>
      <c r="AP64" s="70" t="str">
        <f>TEXT(3,"#,##0.#######")</f>
        <v>3.</v>
      </c>
      <c r="AQ64" s="70"/>
      <c r="AR64" s="70" t="s">
        <v>382</v>
      </c>
      <c r="AS64" s="70"/>
      <c r="AT64" s="70"/>
      <c r="AU64" s="70" t="str">
        <f>TEXT(TRUNC(R64/AJ60*AN64/AP64,1),"#,##0.#")</f>
        <v>65.9</v>
      </c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5"/>
      <c r="CY64" s="75"/>
      <c r="CZ64" s="75"/>
      <c r="DA64" s="76"/>
      <c r="DB64" s="74"/>
    </row>
    <row r="65" spans="2:106" ht="11.25" customHeight="1" x14ac:dyDescent="0.2">
      <c r="B65" s="69"/>
      <c r="C65" s="70"/>
      <c r="D65" s="70"/>
      <c r="E65" s="70"/>
      <c r="F65" s="70"/>
      <c r="G65" s="70"/>
      <c r="H65" s="70" t="s">
        <v>372</v>
      </c>
      <c r="I65" s="70"/>
      <c r="J65" s="70"/>
      <c r="K65" s="70"/>
      <c r="L65" s="70" t="s">
        <v>511</v>
      </c>
      <c r="M65" s="70"/>
      <c r="N65" s="70"/>
      <c r="O65" s="70" t="s">
        <v>721</v>
      </c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 t="str">
        <f>TEXT(AU62+AU63+AU64,"#,##0.#######")</f>
        <v>234.4</v>
      </c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5">
        <f>CY65+CZ65+DA65</f>
        <v>234.4</v>
      </c>
      <c r="CY65" s="75" t="str">
        <f>TEXT(AU62,"#,###.0")</f>
        <v>81.6</v>
      </c>
      <c r="CZ65" s="75" t="str">
        <f>TEXT(AU63,"#,###.0")</f>
        <v>86.9</v>
      </c>
      <c r="DA65" s="76" t="str">
        <f>TEXT(AU64,"#,###.0")</f>
        <v>65.9</v>
      </c>
      <c r="DB65" s="74"/>
    </row>
    <row r="66" spans="2:106" ht="11.25" customHeight="1" x14ac:dyDescent="0.2"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5"/>
      <c r="CY66" s="75"/>
      <c r="CZ66" s="75"/>
      <c r="DA66" s="76"/>
      <c r="DB66" s="74"/>
    </row>
    <row r="67" spans="2:106" ht="11.25" customHeight="1" x14ac:dyDescent="0.2">
      <c r="B67" s="69"/>
      <c r="C67" s="70"/>
      <c r="D67" s="70"/>
      <c r="E67" s="70" t="s">
        <v>220</v>
      </c>
      <c r="F67" s="70"/>
      <c r="G67" s="70"/>
      <c r="H67" s="70" t="s">
        <v>667</v>
      </c>
      <c r="I67" s="70"/>
      <c r="J67" s="70"/>
      <c r="K67" s="70"/>
      <c r="L67" s="70" t="s">
        <v>511</v>
      </c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5"/>
      <c r="CY67" s="75"/>
      <c r="CZ67" s="75"/>
      <c r="DA67" s="76"/>
      <c r="DB67" s="74"/>
    </row>
    <row r="68" spans="2:106" ht="11.25" customHeight="1" x14ac:dyDescent="0.2">
      <c r="B68" s="69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5"/>
      <c r="CY68" s="75"/>
      <c r="CZ68" s="75"/>
      <c r="DA68" s="76"/>
      <c r="DB68" s="74"/>
    </row>
    <row r="69" spans="2:106" ht="11.25" customHeight="1" x14ac:dyDescent="0.2">
      <c r="B69" s="69"/>
      <c r="C69" s="70"/>
      <c r="D69" s="70"/>
      <c r="E69" s="70"/>
      <c r="F69" s="70"/>
      <c r="G69" s="70"/>
      <c r="H69" s="70" t="s">
        <v>815</v>
      </c>
      <c r="I69" s="70"/>
      <c r="J69" s="70"/>
      <c r="K69" s="70"/>
      <c r="L69" s="70"/>
      <c r="M69" s="70"/>
      <c r="N69" s="70"/>
      <c r="O69" s="70" t="s">
        <v>721</v>
      </c>
      <c r="P69" s="70"/>
      <c r="Q69" s="70" t="str">
        <f>TEXT(CY17,"#,###.##")</f>
        <v>565.1</v>
      </c>
      <c r="R69" s="70"/>
      <c r="S69" s="70"/>
      <c r="T69" s="70"/>
      <c r="U69" s="70"/>
      <c r="V69" s="70"/>
      <c r="W69" s="70" t="s">
        <v>199</v>
      </c>
      <c r="X69" s="70"/>
      <c r="Y69" s="70" t="str">
        <f>TEXT(CY48,"#,###.##")</f>
        <v>2,207.6</v>
      </c>
      <c r="Z69" s="70"/>
      <c r="AA69" s="70"/>
      <c r="AB69" s="70"/>
      <c r="AC69" s="70"/>
      <c r="AD69" s="70"/>
      <c r="AE69" s="70"/>
      <c r="AF69" s="70"/>
      <c r="AG69" s="70" t="s">
        <v>199</v>
      </c>
      <c r="AH69" s="70"/>
      <c r="AI69" s="70" t="str">
        <f>TEXT(CY65,"#,###.##")</f>
        <v>81.6</v>
      </c>
      <c r="AJ69" s="70"/>
      <c r="AK69" s="70"/>
      <c r="AL69" s="70"/>
      <c r="AM69" s="70"/>
      <c r="AN69" s="70" t="s">
        <v>382</v>
      </c>
      <c r="AO69" s="70"/>
      <c r="AP69" s="70"/>
      <c r="AQ69" s="70" t="str">
        <f>TEXT(TRUNC(CY17+CY48+CY65,0),"#,##0")</f>
        <v>2,854</v>
      </c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5"/>
      <c r="CY69" s="75"/>
      <c r="CZ69" s="75"/>
      <c r="DA69" s="76"/>
      <c r="DB69" s="74"/>
    </row>
    <row r="70" spans="2:106" ht="11.25" customHeight="1" x14ac:dyDescent="0.2">
      <c r="B70" s="69"/>
      <c r="C70" s="70"/>
      <c r="D70" s="70"/>
      <c r="E70" s="70"/>
      <c r="F70" s="70"/>
      <c r="G70" s="70"/>
      <c r="H70" s="70" t="s">
        <v>590</v>
      </c>
      <c r="I70" s="70"/>
      <c r="J70" s="70"/>
      <c r="K70" s="70"/>
      <c r="L70" s="70"/>
      <c r="M70" s="70"/>
      <c r="N70" s="70"/>
      <c r="O70" s="70" t="s">
        <v>721</v>
      </c>
      <c r="P70" s="70"/>
      <c r="Q70" s="70" t="str">
        <f>TEXT(CZ17,"#,###.##")</f>
        <v>176.4</v>
      </c>
      <c r="R70" s="70"/>
      <c r="S70" s="70"/>
      <c r="T70" s="70"/>
      <c r="U70" s="70"/>
      <c r="V70" s="70"/>
      <c r="W70" s="70" t="s">
        <v>199</v>
      </c>
      <c r="X70" s="70"/>
      <c r="Y70" s="70" t="str">
        <f>TEXT(CZ48,"#,###.##")</f>
        <v>1,113.1</v>
      </c>
      <c r="Z70" s="70"/>
      <c r="AA70" s="70"/>
      <c r="AB70" s="70"/>
      <c r="AC70" s="70"/>
      <c r="AD70" s="70"/>
      <c r="AE70" s="70"/>
      <c r="AF70" s="70"/>
      <c r="AG70" s="70" t="s">
        <v>199</v>
      </c>
      <c r="AH70" s="70"/>
      <c r="AI70" s="70" t="str">
        <f>TEXT(CZ65,"#,###.##")</f>
        <v>86.9</v>
      </c>
      <c r="AJ70" s="70"/>
      <c r="AK70" s="70"/>
      <c r="AL70" s="70"/>
      <c r="AM70" s="70"/>
      <c r="AN70" s="70" t="s">
        <v>382</v>
      </c>
      <c r="AO70" s="70"/>
      <c r="AP70" s="70"/>
      <c r="AQ70" s="70" t="str">
        <f>TEXT(TRUNC(CZ17+CZ48+CZ65,0),"#,##0")</f>
        <v>1,376</v>
      </c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  <c r="CX70" s="75"/>
      <c r="CY70" s="75"/>
      <c r="CZ70" s="75"/>
      <c r="DA70" s="76"/>
      <c r="DB70" s="74"/>
    </row>
    <row r="71" spans="2:106" ht="11.25" customHeight="1" x14ac:dyDescent="0.2">
      <c r="B71" s="69"/>
      <c r="C71" s="70"/>
      <c r="D71" s="70"/>
      <c r="E71" s="70"/>
      <c r="F71" s="70"/>
      <c r="G71" s="70"/>
      <c r="H71" s="70" t="s">
        <v>213</v>
      </c>
      <c r="I71" s="70"/>
      <c r="J71" s="70"/>
      <c r="K71" s="70"/>
      <c r="L71" s="70" t="s">
        <v>522</v>
      </c>
      <c r="M71" s="70"/>
      <c r="N71" s="70"/>
      <c r="O71" s="70" t="s">
        <v>721</v>
      </c>
      <c r="P71" s="70"/>
      <c r="Q71" s="70" t="str">
        <f>TEXT(DA17,"#,###.##")</f>
        <v>234.6</v>
      </c>
      <c r="R71" s="70"/>
      <c r="S71" s="70"/>
      <c r="T71" s="70"/>
      <c r="U71" s="70"/>
      <c r="V71" s="70"/>
      <c r="W71" s="70" t="s">
        <v>199</v>
      </c>
      <c r="X71" s="70"/>
      <c r="Y71" s="70" t="str">
        <f>TEXT(DA48,"#,###.##")</f>
        <v>1,263.8</v>
      </c>
      <c r="Z71" s="70"/>
      <c r="AA71" s="70"/>
      <c r="AB71" s="70"/>
      <c r="AC71" s="70"/>
      <c r="AD71" s="70"/>
      <c r="AE71" s="70"/>
      <c r="AF71" s="70"/>
      <c r="AG71" s="70" t="s">
        <v>199</v>
      </c>
      <c r="AH71" s="70"/>
      <c r="AI71" s="70" t="str">
        <f>TEXT(DA65,"#,###.##")</f>
        <v>65.9</v>
      </c>
      <c r="AJ71" s="70"/>
      <c r="AK71" s="70"/>
      <c r="AL71" s="70"/>
      <c r="AM71" s="70"/>
      <c r="AN71" s="70" t="s">
        <v>382</v>
      </c>
      <c r="AO71" s="70"/>
      <c r="AP71" s="70"/>
      <c r="AQ71" s="70" t="str">
        <f>TEXT(TRUNC(DA17+DA48+DA65,0),"#,##0")</f>
        <v>1,564</v>
      </c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70"/>
      <c r="BL71" s="70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  <c r="CX71" s="75"/>
      <c r="CY71" s="75"/>
      <c r="CZ71" s="75"/>
      <c r="DA71" s="76"/>
      <c r="DB71" s="74"/>
    </row>
    <row r="72" spans="2:106" ht="11.25" customHeight="1" x14ac:dyDescent="0.2">
      <c r="B72" s="69"/>
      <c r="C72" s="70"/>
      <c r="D72" s="70"/>
      <c r="E72" s="70"/>
      <c r="F72" s="70"/>
      <c r="G72" s="70"/>
      <c r="H72" s="70"/>
      <c r="I72" s="70"/>
      <c r="J72" s="70" t="s">
        <v>511</v>
      </c>
      <c r="K72" s="70"/>
      <c r="L72" s="70"/>
      <c r="M72" s="70"/>
      <c r="N72" s="70"/>
      <c r="O72" s="70" t="s">
        <v>721</v>
      </c>
      <c r="P72" s="70"/>
      <c r="Q72" s="70"/>
      <c r="R72" s="70" t="str">
        <f>TEXT(AQ69+AQ70+AQ71,"#,##0")</f>
        <v>5,794</v>
      </c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7">
        <f>CY72+CZ72+DA72</f>
        <v>5794</v>
      </c>
      <c r="CY72" s="75" t="str">
        <f>TEXT(AQ69,"#,##0")</f>
        <v>2,854</v>
      </c>
      <c r="CZ72" s="75" t="str">
        <f>TEXT(AQ70,"#,##0")</f>
        <v>1,376</v>
      </c>
      <c r="DA72" s="76" t="str">
        <f>TEXT(AQ71,"#,##0")</f>
        <v>1,564</v>
      </c>
      <c r="DB72" s="74"/>
    </row>
    <row r="73" spans="2:106" ht="11.25" customHeight="1" x14ac:dyDescent="0.2">
      <c r="B73" s="69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5"/>
      <c r="CY73" s="75"/>
      <c r="CZ73" s="75"/>
      <c r="DA73" s="76"/>
      <c r="DB73" s="74"/>
    </row>
    <row r="74" spans="2:106" x14ac:dyDescent="0.2">
      <c r="B74" s="13"/>
      <c r="C74" s="13"/>
      <c r="D74" s="13"/>
      <c r="E74" s="13"/>
      <c r="F74" s="13"/>
    </row>
  </sheetData>
  <mergeCells count="2">
    <mergeCell ref="B1:DA2"/>
    <mergeCell ref="B3:CW3"/>
  </mergeCells>
  <phoneticPr fontId="5" type="noConversion"/>
  <pageMargins left="0.51181102362204722" right="3.937007874015748E-2" top="0.94488188976377963" bottom="0.59055118110236215" header="0.5" footer="0.5"/>
  <pageSetup paperSize="9" scale="70" orientation="portrait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141BE-B7B4-4D85-B1B2-B5A65AA7131C}">
  <sheetPr>
    <tabColor rgb="FFFF0000"/>
  </sheetPr>
  <dimension ref="B1:AC83"/>
  <sheetViews>
    <sheetView workbookViewId="0">
      <pane ySplit="3" topLeftCell="A27" activePane="bottomLeft" state="frozen"/>
      <selection activeCell="AA21" sqref="AA21:AB21"/>
      <selection pane="bottomLeft" activeCell="C33" sqref="C33"/>
    </sheetView>
  </sheetViews>
  <sheetFormatPr defaultRowHeight="12.75" x14ac:dyDescent="0.2"/>
  <cols>
    <col min="1" max="1" width="0.7109375" customWidth="1"/>
    <col min="2" max="2" width="7.7109375" customWidth="1"/>
    <col min="3" max="3" width="32.85546875" customWidth="1"/>
    <col min="4" max="4" width="30.140625" customWidth="1"/>
    <col min="5" max="5" width="11" customWidth="1"/>
    <col min="6" max="9" width="20.5703125" customWidth="1"/>
  </cols>
  <sheetData>
    <row r="1" spans="2:29" ht="24.95" customHeight="1" x14ac:dyDescent="0.2">
      <c r="B1" s="84" t="s">
        <v>469</v>
      </c>
      <c r="C1" s="84"/>
      <c r="D1" s="84"/>
      <c r="E1" s="84"/>
      <c r="F1" s="84"/>
      <c r="G1" s="84"/>
      <c r="H1" s="84"/>
      <c r="I1" s="84"/>
    </row>
    <row r="2" spans="2:29" ht="9.9499999999999993" customHeight="1" x14ac:dyDescent="0.2">
      <c r="B2" s="85"/>
      <c r="C2" s="85"/>
      <c r="D2" s="85"/>
      <c r="E2" s="85"/>
      <c r="F2" s="85"/>
      <c r="G2" s="85"/>
      <c r="H2" s="85"/>
      <c r="I2" s="85"/>
    </row>
    <row r="3" spans="2:29" ht="30.75" customHeight="1" x14ac:dyDescent="0.2">
      <c r="B3" s="14" t="s">
        <v>259</v>
      </c>
      <c r="C3" s="7" t="s">
        <v>922</v>
      </c>
      <c r="D3" s="7" t="s">
        <v>754</v>
      </c>
      <c r="E3" s="7" t="s">
        <v>354</v>
      </c>
      <c r="F3" s="7" t="s">
        <v>925</v>
      </c>
      <c r="G3" s="7" t="s">
        <v>815</v>
      </c>
      <c r="H3" s="7" t="s">
        <v>594</v>
      </c>
      <c r="I3" s="8" t="s">
        <v>70</v>
      </c>
      <c r="Z3" t="s">
        <v>604</v>
      </c>
      <c r="AA3" t="s">
        <v>688</v>
      </c>
      <c r="AB3" t="s">
        <v>946</v>
      </c>
      <c r="AC3" t="s">
        <v>648</v>
      </c>
    </row>
    <row r="4" spans="2:29" ht="19.7" customHeight="1" x14ac:dyDescent="0.2">
      <c r="B4" s="18" t="s">
        <v>280</v>
      </c>
      <c r="C4" s="19" t="s">
        <v>113</v>
      </c>
      <c r="D4" s="19" t="s">
        <v>743</v>
      </c>
      <c r="E4" s="20" t="s">
        <v>720</v>
      </c>
      <c r="F4" s="55">
        <f t="shared" ref="F4:F35" si="0">G4+H4+I4</f>
        <v>159988</v>
      </c>
      <c r="G4" s="55">
        <f>기계경비!AA4</f>
        <v>55699</v>
      </c>
      <c r="H4" s="55">
        <f>기계경비!AB4</f>
        <v>59306</v>
      </c>
      <c r="I4" s="65">
        <f>기계경비!AC4</f>
        <v>44983</v>
      </c>
      <c r="Z4" s="17">
        <v>159988</v>
      </c>
      <c r="AA4" s="17">
        <v>55699</v>
      </c>
      <c r="AB4" s="17">
        <v>59306</v>
      </c>
      <c r="AC4" s="17">
        <v>44983</v>
      </c>
    </row>
    <row r="5" spans="2:29" ht="19.7" customHeight="1" x14ac:dyDescent="0.2">
      <c r="B5" s="18" t="s">
        <v>907</v>
      </c>
      <c r="C5" s="19" t="s">
        <v>144</v>
      </c>
      <c r="D5" s="19" t="s">
        <v>245</v>
      </c>
      <c r="E5" s="20" t="s">
        <v>720</v>
      </c>
      <c r="F5" s="55">
        <f t="shared" si="0"/>
        <v>76175</v>
      </c>
      <c r="G5" s="55">
        <f>기계경비!AA10</f>
        <v>55699</v>
      </c>
      <c r="H5" s="55">
        <f>기계경비!AB10</f>
        <v>7435</v>
      </c>
      <c r="I5" s="65">
        <f>기계경비!AC10</f>
        <v>13041</v>
      </c>
      <c r="Z5" s="17">
        <v>76175</v>
      </c>
      <c r="AA5" s="17">
        <v>55699</v>
      </c>
      <c r="AB5" s="17">
        <v>7435</v>
      </c>
      <c r="AC5" s="17">
        <v>13041</v>
      </c>
    </row>
    <row r="6" spans="2:29" ht="19.7" customHeight="1" x14ac:dyDescent="0.2">
      <c r="B6" s="18" t="s">
        <v>384</v>
      </c>
      <c r="C6" s="19" t="s">
        <v>144</v>
      </c>
      <c r="D6" s="19" t="s">
        <v>845</v>
      </c>
      <c r="E6" s="20" t="s">
        <v>720</v>
      </c>
      <c r="F6" s="55">
        <f t="shared" si="0"/>
        <v>86920</v>
      </c>
      <c r="G6" s="55">
        <f>기계경비!AA16</f>
        <v>55699</v>
      </c>
      <c r="H6" s="55">
        <f>기계경비!AB16</f>
        <v>14843</v>
      </c>
      <c r="I6" s="65">
        <f>기계경비!AC16</f>
        <v>16378</v>
      </c>
      <c r="Z6" s="17">
        <v>86920</v>
      </c>
      <c r="AA6" s="17">
        <v>55699</v>
      </c>
      <c r="AB6" s="17">
        <v>14843</v>
      </c>
      <c r="AC6" s="17">
        <v>16378</v>
      </c>
    </row>
    <row r="7" spans="2:29" ht="19.7" customHeight="1" x14ac:dyDescent="0.2">
      <c r="B7" s="18" t="s">
        <v>752</v>
      </c>
      <c r="C7" s="19" t="s">
        <v>144</v>
      </c>
      <c r="D7" s="19" t="s">
        <v>411</v>
      </c>
      <c r="E7" s="20" t="s">
        <v>720</v>
      </c>
      <c r="F7" s="55">
        <f t="shared" si="0"/>
        <v>92949</v>
      </c>
      <c r="G7" s="55">
        <f>기계경비!AA22</f>
        <v>55699</v>
      </c>
      <c r="H7" s="55">
        <f>기계경비!AB22</f>
        <v>15293</v>
      </c>
      <c r="I7" s="65">
        <f>기계경비!AC22</f>
        <v>21957</v>
      </c>
      <c r="Z7" s="17">
        <v>92949</v>
      </c>
      <c r="AA7" s="17">
        <v>55699</v>
      </c>
      <c r="AB7" s="17">
        <v>15293</v>
      </c>
      <c r="AC7" s="17">
        <v>21957</v>
      </c>
    </row>
    <row r="8" spans="2:29" ht="19.7" customHeight="1" x14ac:dyDescent="0.2">
      <c r="B8" s="18" t="s">
        <v>315</v>
      </c>
      <c r="C8" s="19" t="s">
        <v>144</v>
      </c>
      <c r="D8" s="19" t="s">
        <v>63</v>
      </c>
      <c r="E8" s="20" t="s">
        <v>720</v>
      </c>
      <c r="F8" s="55">
        <f t="shared" si="0"/>
        <v>96219</v>
      </c>
      <c r="G8" s="55">
        <f>기계경비!AA28</f>
        <v>55699</v>
      </c>
      <c r="H8" s="55">
        <f>기계경비!AB28</f>
        <v>17392</v>
      </c>
      <c r="I8" s="65">
        <f>기계경비!AC28</f>
        <v>23128</v>
      </c>
      <c r="Z8" s="17">
        <v>96219</v>
      </c>
      <c r="AA8" s="17">
        <v>55699</v>
      </c>
      <c r="AB8" s="17">
        <v>17392</v>
      </c>
      <c r="AC8" s="17">
        <v>23128</v>
      </c>
    </row>
    <row r="9" spans="2:29" ht="19.7" customHeight="1" x14ac:dyDescent="0.2">
      <c r="B9" s="18" t="s">
        <v>877</v>
      </c>
      <c r="C9" s="19" t="s">
        <v>144</v>
      </c>
      <c r="D9" s="19" t="s">
        <v>345</v>
      </c>
      <c r="E9" s="20" t="s">
        <v>720</v>
      </c>
      <c r="F9" s="55">
        <f t="shared" si="0"/>
        <v>104096</v>
      </c>
      <c r="G9" s="55">
        <f>기계경비!AA34</f>
        <v>55699</v>
      </c>
      <c r="H9" s="55">
        <f>기계경비!AB34</f>
        <v>22940</v>
      </c>
      <c r="I9" s="65">
        <f>기계경비!AC34</f>
        <v>25457</v>
      </c>
      <c r="Z9" s="17">
        <v>104096</v>
      </c>
      <c r="AA9" s="17">
        <v>55699</v>
      </c>
      <c r="AB9" s="17">
        <v>22940</v>
      </c>
      <c r="AC9" s="17">
        <v>25457</v>
      </c>
    </row>
    <row r="10" spans="2:29" ht="19.7" customHeight="1" x14ac:dyDescent="0.2">
      <c r="B10" s="18" t="s">
        <v>480</v>
      </c>
      <c r="C10" s="19" t="s">
        <v>144</v>
      </c>
      <c r="D10" s="19" t="s">
        <v>154</v>
      </c>
      <c r="E10" s="20" t="s">
        <v>720</v>
      </c>
      <c r="F10" s="55">
        <f t="shared" si="0"/>
        <v>112837</v>
      </c>
      <c r="G10" s="55">
        <f>기계경비!AA40</f>
        <v>55699</v>
      </c>
      <c r="H10" s="55">
        <f>기계경비!AB40</f>
        <v>29237</v>
      </c>
      <c r="I10" s="65">
        <f>기계경비!AC40</f>
        <v>27901</v>
      </c>
      <c r="Z10" s="17">
        <v>112837</v>
      </c>
      <c r="AA10" s="17">
        <v>55699</v>
      </c>
      <c r="AB10" s="17">
        <v>29237</v>
      </c>
      <c r="AC10" s="17">
        <v>27901</v>
      </c>
    </row>
    <row r="11" spans="2:29" ht="19.7" customHeight="1" x14ac:dyDescent="0.2">
      <c r="B11" s="18" t="s">
        <v>884</v>
      </c>
      <c r="C11" s="19" t="s">
        <v>290</v>
      </c>
      <c r="D11" s="19" t="s">
        <v>254</v>
      </c>
      <c r="E11" s="20" t="s">
        <v>720</v>
      </c>
      <c r="F11" s="55">
        <f t="shared" si="0"/>
        <v>101026</v>
      </c>
      <c r="G11" s="55">
        <f>기계경비!AA46</f>
        <v>55699</v>
      </c>
      <c r="H11" s="55">
        <f>기계경비!AB46</f>
        <v>14541</v>
      </c>
      <c r="I11" s="65">
        <f>기계경비!AC46</f>
        <v>30786</v>
      </c>
      <c r="Z11" s="17">
        <v>101026</v>
      </c>
      <c r="AA11" s="17">
        <v>55699</v>
      </c>
      <c r="AB11" s="17">
        <v>14541</v>
      </c>
      <c r="AC11" s="17">
        <v>30786</v>
      </c>
    </row>
    <row r="12" spans="2:29" ht="19.7" customHeight="1" x14ac:dyDescent="0.2">
      <c r="B12" s="18" t="s">
        <v>465</v>
      </c>
      <c r="C12" s="19" t="s">
        <v>290</v>
      </c>
      <c r="D12" s="19" t="s">
        <v>857</v>
      </c>
      <c r="E12" s="20" t="s">
        <v>720</v>
      </c>
      <c r="F12" s="55">
        <f t="shared" si="0"/>
        <v>106133</v>
      </c>
      <c r="G12" s="55">
        <f>기계경비!AA53</f>
        <v>55699</v>
      </c>
      <c r="H12" s="55">
        <f>기계경비!AB53</f>
        <v>16537</v>
      </c>
      <c r="I12" s="65">
        <f>기계경비!AC53</f>
        <v>33897</v>
      </c>
      <c r="Z12" s="17">
        <v>106133</v>
      </c>
      <c r="AA12" s="17">
        <v>55699</v>
      </c>
      <c r="AB12" s="17">
        <v>16537</v>
      </c>
      <c r="AC12" s="17">
        <v>33897</v>
      </c>
    </row>
    <row r="13" spans="2:29" ht="19.7" customHeight="1" x14ac:dyDescent="0.2">
      <c r="B13" s="18" t="s">
        <v>111</v>
      </c>
      <c r="C13" s="19" t="s">
        <v>868</v>
      </c>
      <c r="D13" s="19" t="s">
        <v>406</v>
      </c>
      <c r="E13" s="20" t="s">
        <v>720</v>
      </c>
      <c r="F13" s="55">
        <f t="shared" si="0"/>
        <v>68872</v>
      </c>
      <c r="G13" s="55">
        <f>기계경비!AA60</f>
        <v>55699</v>
      </c>
      <c r="H13" s="55">
        <f>기계경비!AB60</f>
        <v>6194</v>
      </c>
      <c r="I13" s="65">
        <f>기계경비!AC60</f>
        <v>6979</v>
      </c>
      <c r="Z13" s="17">
        <v>68872</v>
      </c>
      <c r="AA13" s="17">
        <v>55699</v>
      </c>
      <c r="AB13" s="17">
        <v>6194</v>
      </c>
      <c r="AC13" s="17">
        <v>6979</v>
      </c>
    </row>
    <row r="14" spans="2:29" ht="19.7" customHeight="1" x14ac:dyDescent="0.2">
      <c r="B14" s="18" t="s">
        <v>509</v>
      </c>
      <c r="C14" s="19" t="s">
        <v>428</v>
      </c>
      <c r="D14" s="19" t="s">
        <v>338</v>
      </c>
      <c r="E14" s="20" t="s">
        <v>720</v>
      </c>
      <c r="F14" s="55">
        <f t="shared" si="0"/>
        <v>58318</v>
      </c>
      <c r="G14" s="55">
        <f>기계경비!AA66</f>
        <v>47231</v>
      </c>
      <c r="H14" s="55">
        <f>기계경비!AB66</f>
        <v>4918</v>
      </c>
      <c r="I14" s="65">
        <f>기계경비!AC66</f>
        <v>6169</v>
      </c>
      <c r="Z14" s="17">
        <v>58318</v>
      </c>
      <c r="AA14" s="17">
        <v>47231</v>
      </c>
      <c r="AB14" s="17">
        <v>4918</v>
      </c>
      <c r="AC14" s="17">
        <v>6169</v>
      </c>
    </row>
    <row r="15" spans="2:29" ht="19.7" customHeight="1" x14ac:dyDescent="0.2">
      <c r="B15" s="18" t="s">
        <v>200</v>
      </c>
      <c r="C15" s="19" t="s">
        <v>428</v>
      </c>
      <c r="D15" s="19" t="s">
        <v>285</v>
      </c>
      <c r="E15" s="20" t="s">
        <v>720</v>
      </c>
      <c r="F15" s="55">
        <f t="shared" si="0"/>
        <v>62913</v>
      </c>
      <c r="G15" s="55">
        <f>기계경비!AA72</f>
        <v>47231</v>
      </c>
      <c r="H15" s="55">
        <f>기계경비!AB72</f>
        <v>8480</v>
      </c>
      <c r="I15" s="65">
        <f>기계경비!AC72</f>
        <v>7202</v>
      </c>
      <c r="Z15" s="17">
        <v>62913</v>
      </c>
      <c r="AA15" s="17">
        <v>47231</v>
      </c>
      <c r="AB15" s="17">
        <v>8480</v>
      </c>
      <c r="AC15" s="17">
        <v>7202</v>
      </c>
    </row>
    <row r="16" spans="2:29" ht="19.7" customHeight="1" x14ac:dyDescent="0.2">
      <c r="B16" s="18" t="s">
        <v>610</v>
      </c>
      <c r="C16" s="19" t="s">
        <v>428</v>
      </c>
      <c r="D16" s="19" t="s">
        <v>919</v>
      </c>
      <c r="E16" s="20" t="s">
        <v>720</v>
      </c>
      <c r="F16" s="55">
        <f t="shared" si="0"/>
        <v>72976</v>
      </c>
      <c r="G16" s="55">
        <f>기계경비!AA78</f>
        <v>47231</v>
      </c>
      <c r="H16" s="55">
        <f>기계경비!AB78</f>
        <v>15772</v>
      </c>
      <c r="I16" s="65">
        <f>기계경비!AC78</f>
        <v>9973</v>
      </c>
      <c r="Z16" s="17">
        <v>72976</v>
      </c>
      <c r="AA16" s="17">
        <v>47231</v>
      </c>
      <c r="AB16" s="17">
        <v>15772</v>
      </c>
      <c r="AC16" s="17">
        <v>9973</v>
      </c>
    </row>
    <row r="17" spans="2:29" ht="19.7" customHeight="1" x14ac:dyDescent="0.2">
      <c r="B17" s="18" t="s">
        <v>34</v>
      </c>
      <c r="C17" s="19" t="s">
        <v>755</v>
      </c>
      <c r="D17" s="19" t="s">
        <v>103</v>
      </c>
      <c r="E17" s="20" t="s">
        <v>720</v>
      </c>
      <c r="F17" s="55">
        <f t="shared" si="0"/>
        <v>102711</v>
      </c>
      <c r="G17" s="55">
        <f>기계경비!AA84</f>
        <v>55699</v>
      </c>
      <c r="H17" s="55">
        <f>기계경비!AB84</f>
        <v>26966</v>
      </c>
      <c r="I17" s="65">
        <f>기계경비!AC84</f>
        <v>20046</v>
      </c>
      <c r="Z17" s="17">
        <v>102711</v>
      </c>
      <c r="AA17" s="17">
        <v>55699</v>
      </c>
      <c r="AB17" s="17">
        <v>26966</v>
      </c>
      <c r="AC17" s="17">
        <v>20046</v>
      </c>
    </row>
    <row r="18" spans="2:29" ht="19.7" customHeight="1" x14ac:dyDescent="0.2">
      <c r="B18" s="18" t="s">
        <v>545</v>
      </c>
      <c r="C18" s="19" t="s">
        <v>755</v>
      </c>
      <c r="D18" s="19" t="s">
        <v>625</v>
      </c>
      <c r="E18" s="20" t="s">
        <v>720</v>
      </c>
      <c r="F18" s="55">
        <f t="shared" si="0"/>
        <v>126594</v>
      </c>
      <c r="G18" s="55">
        <f>기계경비!AA91</f>
        <v>55699</v>
      </c>
      <c r="H18" s="55">
        <f>기계경비!AB91</f>
        <v>39008</v>
      </c>
      <c r="I18" s="65">
        <f>기계경비!AC91</f>
        <v>31887</v>
      </c>
      <c r="Z18" s="17">
        <v>126594</v>
      </c>
      <c r="AA18" s="17">
        <v>55699</v>
      </c>
      <c r="AB18" s="17">
        <v>39008</v>
      </c>
      <c r="AC18" s="17">
        <v>31887</v>
      </c>
    </row>
    <row r="19" spans="2:29" ht="19.7" customHeight="1" x14ac:dyDescent="0.2">
      <c r="B19" s="18" t="s">
        <v>165</v>
      </c>
      <c r="C19" s="19" t="s">
        <v>607</v>
      </c>
      <c r="D19" s="19" t="s">
        <v>787</v>
      </c>
      <c r="E19" s="20" t="s">
        <v>720</v>
      </c>
      <c r="F19" s="55">
        <f t="shared" si="0"/>
        <v>81288</v>
      </c>
      <c r="G19" s="55">
        <f>기계경비!AA98</f>
        <v>55699</v>
      </c>
      <c r="H19" s="55">
        <f>기계경비!AB98</f>
        <v>13487</v>
      </c>
      <c r="I19" s="65">
        <f>기계경비!AC98</f>
        <v>12102</v>
      </c>
      <c r="Z19" s="17">
        <v>81288</v>
      </c>
      <c r="AA19" s="17">
        <v>55699</v>
      </c>
      <c r="AB19" s="17">
        <v>13487</v>
      </c>
      <c r="AC19" s="17">
        <v>12102</v>
      </c>
    </row>
    <row r="20" spans="2:29" ht="19.7" customHeight="1" x14ac:dyDescent="0.2">
      <c r="B20" s="18" t="s">
        <v>707</v>
      </c>
      <c r="C20" s="19" t="s">
        <v>932</v>
      </c>
      <c r="D20" s="19" t="s">
        <v>933</v>
      </c>
      <c r="E20" s="20" t="s">
        <v>720</v>
      </c>
      <c r="F20" s="55">
        <f t="shared" si="0"/>
        <v>71475</v>
      </c>
      <c r="G20" s="55">
        <f>기계경비!AA104</f>
        <v>55699</v>
      </c>
      <c r="H20" s="55">
        <f>기계경비!AB104</f>
        <v>7251</v>
      </c>
      <c r="I20" s="65">
        <f>기계경비!AC104</f>
        <v>8525</v>
      </c>
      <c r="Z20" s="17">
        <v>71475</v>
      </c>
      <c r="AA20" s="17">
        <v>55699</v>
      </c>
      <c r="AB20" s="17">
        <v>7251</v>
      </c>
      <c r="AC20" s="17">
        <v>8525</v>
      </c>
    </row>
    <row r="21" spans="2:29" ht="19.7" customHeight="1" x14ac:dyDescent="0.2">
      <c r="B21" s="18" t="s">
        <v>169</v>
      </c>
      <c r="C21" s="19" t="s">
        <v>745</v>
      </c>
      <c r="D21" s="19" t="s">
        <v>808</v>
      </c>
      <c r="E21" s="20" t="s">
        <v>720</v>
      </c>
      <c r="F21" s="55">
        <f t="shared" si="0"/>
        <v>38472</v>
      </c>
      <c r="G21" s="55">
        <f>기계경비!AA110</f>
        <v>33571</v>
      </c>
      <c r="H21" s="55">
        <f>기계경비!AB110</f>
        <v>3055</v>
      </c>
      <c r="I21" s="65">
        <f>기계경비!AC110</f>
        <v>1846</v>
      </c>
      <c r="Z21" s="17">
        <v>38472</v>
      </c>
      <c r="AA21" s="17">
        <v>33571</v>
      </c>
      <c r="AB21" s="17">
        <v>3055</v>
      </c>
      <c r="AC21" s="17">
        <v>1846</v>
      </c>
    </row>
    <row r="22" spans="2:29" ht="19.7" customHeight="1" x14ac:dyDescent="0.2">
      <c r="B22" s="18" t="s">
        <v>694</v>
      </c>
      <c r="C22" s="19" t="s">
        <v>935</v>
      </c>
      <c r="D22" s="19" t="s">
        <v>939</v>
      </c>
      <c r="E22" s="20" t="s">
        <v>720</v>
      </c>
      <c r="F22" s="55">
        <f t="shared" si="0"/>
        <v>85721</v>
      </c>
      <c r="G22" s="55">
        <f>기계경비!AA116</f>
        <v>55699</v>
      </c>
      <c r="H22" s="55">
        <f>기계경비!AB116</f>
        <v>12093</v>
      </c>
      <c r="I22" s="65">
        <f>기계경비!AC116</f>
        <v>17929</v>
      </c>
      <c r="Z22" s="17">
        <v>85721</v>
      </c>
      <c r="AA22" s="17">
        <v>55699</v>
      </c>
      <c r="AB22" s="17">
        <v>12093</v>
      </c>
      <c r="AC22" s="17">
        <v>17929</v>
      </c>
    </row>
    <row r="23" spans="2:29" ht="19.7" customHeight="1" x14ac:dyDescent="0.2">
      <c r="B23" s="18" t="s">
        <v>831</v>
      </c>
      <c r="C23" s="19" t="s">
        <v>843</v>
      </c>
      <c r="D23" s="19" t="s">
        <v>630</v>
      </c>
      <c r="E23" s="20" t="s">
        <v>720</v>
      </c>
      <c r="F23" s="55">
        <f t="shared" si="0"/>
        <v>35159</v>
      </c>
      <c r="G23" s="55">
        <f>기계경비!AA122</f>
        <v>33571</v>
      </c>
      <c r="H23" s="55">
        <f>기계경비!AB122</f>
        <v>1095</v>
      </c>
      <c r="I23" s="65">
        <f>기계경비!AC122</f>
        <v>493</v>
      </c>
      <c r="Z23" s="17">
        <v>35159</v>
      </c>
      <c r="AA23" s="17">
        <v>33571</v>
      </c>
      <c r="AB23" s="17">
        <v>1095</v>
      </c>
      <c r="AC23" s="17">
        <v>493</v>
      </c>
    </row>
    <row r="24" spans="2:29" ht="19.7" customHeight="1" x14ac:dyDescent="0.2">
      <c r="B24" s="18" t="s">
        <v>286</v>
      </c>
      <c r="C24" s="19" t="s">
        <v>445</v>
      </c>
      <c r="D24" s="19" t="s">
        <v>934</v>
      </c>
      <c r="E24" s="20" t="s">
        <v>720</v>
      </c>
      <c r="F24" s="55">
        <f t="shared" si="0"/>
        <v>35860</v>
      </c>
      <c r="G24" s="55">
        <f>기계경비!AA128</f>
        <v>33571</v>
      </c>
      <c r="H24" s="55">
        <f>기계경비!AB128</f>
        <v>1707</v>
      </c>
      <c r="I24" s="65">
        <f>기계경비!AC128</f>
        <v>582</v>
      </c>
      <c r="Z24" s="17">
        <v>35860</v>
      </c>
      <c r="AA24" s="17">
        <v>33571</v>
      </c>
      <c r="AB24" s="17">
        <v>1707</v>
      </c>
      <c r="AC24" s="17">
        <v>582</v>
      </c>
    </row>
    <row r="25" spans="2:29" ht="19.7" customHeight="1" x14ac:dyDescent="0.2">
      <c r="B25" s="18" t="s">
        <v>903</v>
      </c>
      <c r="C25" s="19" t="s">
        <v>192</v>
      </c>
      <c r="D25" s="19" t="s">
        <v>181</v>
      </c>
      <c r="E25" s="20" t="s">
        <v>720</v>
      </c>
      <c r="F25" s="55">
        <f t="shared" si="0"/>
        <v>92293</v>
      </c>
      <c r="G25" s="55">
        <f>기계경비!AA134</f>
        <v>55699</v>
      </c>
      <c r="H25" s="55">
        <f>기계경비!AB134</f>
        <v>6491</v>
      </c>
      <c r="I25" s="65">
        <f>기계경비!AC134</f>
        <v>30103</v>
      </c>
      <c r="Z25" s="17">
        <v>92293</v>
      </c>
      <c r="AA25" s="17">
        <v>55699</v>
      </c>
      <c r="AB25" s="17">
        <v>6491</v>
      </c>
      <c r="AC25" s="17">
        <v>30103</v>
      </c>
    </row>
    <row r="26" spans="2:29" ht="19.7" customHeight="1" x14ac:dyDescent="0.2">
      <c r="B26" s="18" t="s">
        <v>398</v>
      </c>
      <c r="C26" s="19" t="s">
        <v>192</v>
      </c>
      <c r="D26" s="19" t="s">
        <v>103</v>
      </c>
      <c r="E26" s="20" t="s">
        <v>720</v>
      </c>
      <c r="F26" s="55">
        <f t="shared" si="0"/>
        <v>104582</v>
      </c>
      <c r="G26" s="55">
        <f>기계경비!AA140</f>
        <v>55699</v>
      </c>
      <c r="H26" s="55">
        <f>기계경비!AB140</f>
        <v>8029</v>
      </c>
      <c r="I26" s="65">
        <f>기계경비!AC140</f>
        <v>40854</v>
      </c>
      <c r="Z26" s="17">
        <v>104582</v>
      </c>
      <c r="AA26" s="17">
        <v>55699</v>
      </c>
      <c r="AB26" s="17">
        <v>8029</v>
      </c>
      <c r="AC26" s="17">
        <v>40854</v>
      </c>
    </row>
    <row r="27" spans="2:29" ht="19.7" customHeight="1" x14ac:dyDescent="0.2">
      <c r="B27" s="18" t="s">
        <v>740</v>
      </c>
      <c r="C27" s="19" t="s">
        <v>192</v>
      </c>
      <c r="D27" s="19" t="s">
        <v>953</v>
      </c>
      <c r="E27" s="20" t="s">
        <v>720</v>
      </c>
      <c r="F27" s="55">
        <f t="shared" si="0"/>
        <v>116209</v>
      </c>
      <c r="G27" s="55">
        <f>기계경비!AA146</f>
        <v>55699</v>
      </c>
      <c r="H27" s="55">
        <f>기계경비!AB146</f>
        <v>9224</v>
      </c>
      <c r="I27" s="65">
        <f>기계경비!AC146</f>
        <v>51286</v>
      </c>
      <c r="Z27" s="17">
        <v>116209</v>
      </c>
      <c r="AA27" s="17">
        <v>55699</v>
      </c>
      <c r="AB27" s="17">
        <v>9224</v>
      </c>
      <c r="AC27" s="17">
        <v>51286</v>
      </c>
    </row>
    <row r="28" spans="2:29" ht="19.7" customHeight="1" x14ac:dyDescent="0.2">
      <c r="B28" s="18" t="s">
        <v>319</v>
      </c>
      <c r="C28" s="19" t="s">
        <v>192</v>
      </c>
      <c r="D28" s="19" t="s">
        <v>767</v>
      </c>
      <c r="E28" s="20" t="s">
        <v>720</v>
      </c>
      <c r="F28" s="55">
        <f t="shared" si="0"/>
        <v>122786</v>
      </c>
      <c r="G28" s="55">
        <f>기계경비!AA152</f>
        <v>55699</v>
      </c>
      <c r="H28" s="55">
        <f>기계경비!AB152</f>
        <v>10420</v>
      </c>
      <c r="I28" s="65">
        <f>기계경비!AC152</f>
        <v>56667</v>
      </c>
      <c r="Z28" s="17">
        <v>122786</v>
      </c>
      <c r="AA28" s="17">
        <v>55699</v>
      </c>
      <c r="AB28" s="17">
        <v>10420</v>
      </c>
      <c r="AC28" s="17">
        <v>56667</v>
      </c>
    </row>
    <row r="29" spans="2:29" ht="19.7" customHeight="1" x14ac:dyDescent="0.2">
      <c r="B29" s="18" t="s">
        <v>864</v>
      </c>
      <c r="C29" s="19" t="s">
        <v>192</v>
      </c>
      <c r="D29" s="19" t="s">
        <v>301</v>
      </c>
      <c r="E29" s="20" t="s">
        <v>720</v>
      </c>
      <c r="F29" s="55">
        <f t="shared" si="0"/>
        <v>123641</v>
      </c>
      <c r="G29" s="55">
        <f>기계경비!AA158</f>
        <v>55699</v>
      </c>
      <c r="H29" s="55">
        <f>기계경비!AB158</f>
        <v>13153</v>
      </c>
      <c r="I29" s="65">
        <f>기계경비!AC158</f>
        <v>54789</v>
      </c>
      <c r="Z29" s="17">
        <v>123641</v>
      </c>
      <c r="AA29" s="17">
        <v>55699</v>
      </c>
      <c r="AB29" s="17">
        <v>13153</v>
      </c>
      <c r="AC29" s="17">
        <v>54789</v>
      </c>
    </row>
    <row r="30" spans="2:29" ht="19.7" customHeight="1" x14ac:dyDescent="0.2">
      <c r="B30" s="18" t="s">
        <v>482</v>
      </c>
      <c r="C30" s="19" t="s">
        <v>192</v>
      </c>
      <c r="D30" s="19" t="s">
        <v>472</v>
      </c>
      <c r="E30" s="20" t="s">
        <v>720</v>
      </c>
      <c r="F30" s="55">
        <f t="shared" si="0"/>
        <v>126271</v>
      </c>
      <c r="G30" s="55">
        <f>기계경비!AA164</f>
        <v>55699</v>
      </c>
      <c r="H30" s="55">
        <f>기계경비!AB164</f>
        <v>13153</v>
      </c>
      <c r="I30" s="65">
        <f>기계경비!AC164</f>
        <v>57419</v>
      </c>
      <c r="Z30" s="17">
        <v>126271</v>
      </c>
      <c r="AA30" s="17">
        <v>55699</v>
      </c>
      <c r="AB30" s="17">
        <v>13153</v>
      </c>
      <c r="AC30" s="17">
        <v>57419</v>
      </c>
    </row>
    <row r="31" spans="2:29" ht="19.7" customHeight="1" x14ac:dyDescent="0.2">
      <c r="B31" s="18" t="s">
        <v>895</v>
      </c>
      <c r="C31" s="19" t="s">
        <v>192</v>
      </c>
      <c r="D31" s="19" t="s">
        <v>357</v>
      </c>
      <c r="E31" s="20" t="s">
        <v>720</v>
      </c>
      <c r="F31" s="55">
        <f t="shared" si="0"/>
        <v>137553</v>
      </c>
      <c r="G31" s="55">
        <f>기계경비!AA170</f>
        <v>55699</v>
      </c>
      <c r="H31" s="55">
        <f>기계경비!AB170</f>
        <v>16401</v>
      </c>
      <c r="I31" s="65">
        <f>기계경비!AC170</f>
        <v>65453</v>
      </c>
      <c r="Z31" s="17">
        <v>137553</v>
      </c>
      <c r="AA31" s="17">
        <v>55699</v>
      </c>
      <c r="AB31" s="17">
        <v>16401</v>
      </c>
      <c r="AC31" s="17">
        <v>65453</v>
      </c>
    </row>
    <row r="32" spans="2:29" ht="19.7" customHeight="1" x14ac:dyDescent="0.2">
      <c r="B32" s="23" t="s">
        <v>464</v>
      </c>
      <c r="C32" s="24" t="s">
        <v>108</v>
      </c>
      <c r="D32" s="24" t="s">
        <v>162</v>
      </c>
      <c r="E32" s="25" t="s">
        <v>720</v>
      </c>
      <c r="F32" s="64">
        <f t="shared" si="0"/>
        <v>64746</v>
      </c>
      <c r="G32" s="64">
        <f>기계경비!AA176</f>
        <v>47231</v>
      </c>
      <c r="H32" s="64">
        <f>기계경비!AB176</f>
        <v>7521</v>
      </c>
      <c r="I32" s="66">
        <f>기계경비!AC176</f>
        <v>9994</v>
      </c>
      <c r="Z32" s="17">
        <v>64746</v>
      </c>
      <c r="AA32" s="17">
        <v>47231</v>
      </c>
      <c r="AB32" s="17">
        <v>7521</v>
      </c>
      <c r="AC32" s="17">
        <v>9994</v>
      </c>
    </row>
    <row r="33" spans="2:29" ht="19.7" customHeight="1" x14ac:dyDescent="0.2">
      <c r="B33" s="18" t="s">
        <v>586</v>
      </c>
      <c r="C33" s="19" t="s">
        <v>424</v>
      </c>
      <c r="D33" s="19" t="s">
        <v>953</v>
      </c>
      <c r="E33" s="20" t="s">
        <v>720</v>
      </c>
      <c r="F33" s="55">
        <f t="shared" si="0"/>
        <v>100239</v>
      </c>
      <c r="G33" s="55">
        <f>기계경비!AA182</f>
        <v>55699</v>
      </c>
      <c r="H33" s="55">
        <f>기계경비!AB182</f>
        <v>28187</v>
      </c>
      <c r="I33" s="65">
        <f>기계경비!AC182</f>
        <v>16353</v>
      </c>
      <c r="Z33" s="17">
        <v>100239</v>
      </c>
      <c r="AA33" s="17">
        <v>55699</v>
      </c>
      <c r="AB33" s="17">
        <v>28187</v>
      </c>
      <c r="AC33" s="17">
        <v>16353</v>
      </c>
    </row>
    <row r="34" spans="2:29" ht="19.7" customHeight="1" x14ac:dyDescent="0.2">
      <c r="B34" s="18" t="s">
        <v>46</v>
      </c>
      <c r="C34" s="19" t="s">
        <v>121</v>
      </c>
      <c r="D34" s="19" t="s">
        <v>307</v>
      </c>
      <c r="E34" s="20" t="s">
        <v>720</v>
      </c>
      <c r="F34" s="55">
        <f t="shared" si="0"/>
        <v>126334</v>
      </c>
      <c r="G34" s="55">
        <f>기계경비!AA188</f>
        <v>55699</v>
      </c>
      <c r="H34" s="55">
        <f>기계경비!AB188</f>
        <v>17095</v>
      </c>
      <c r="I34" s="65">
        <f>기계경비!AC188</f>
        <v>53540</v>
      </c>
      <c r="Z34" s="17">
        <v>126334</v>
      </c>
      <c r="AA34" s="17">
        <v>55699</v>
      </c>
      <c r="AB34" s="17">
        <v>17095</v>
      </c>
      <c r="AC34" s="17">
        <v>53540</v>
      </c>
    </row>
    <row r="35" spans="2:29" ht="19.7" customHeight="1" x14ac:dyDescent="0.2">
      <c r="B35" s="18" t="s">
        <v>650</v>
      </c>
      <c r="C35" s="19" t="s">
        <v>750</v>
      </c>
      <c r="D35" s="19" t="s">
        <v>691</v>
      </c>
      <c r="E35" s="20" t="s">
        <v>720</v>
      </c>
      <c r="F35" s="55">
        <f t="shared" si="0"/>
        <v>87511</v>
      </c>
      <c r="G35" s="55">
        <f>기계경비!AA194</f>
        <v>55699</v>
      </c>
      <c r="H35" s="55">
        <f>기계경비!AB194</f>
        <v>16745</v>
      </c>
      <c r="I35" s="65">
        <f>기계경비!AC194</f>
        <v>15067</v>
      </c>
      <c r="Z35" s="17">
        <v>87511</v>
      </c>
      <c r="AA35" s="17">
        <v>55699</v>
      </c>
      <c r="AB35" s="17">
        <v>16745</v>
      </c>
      <c r="AC35" s="17">
        <v>15067</v>
      </c>
    </row>
    <row r="36" spans="2:29" ht="19.7" customHeight="1" x14ac:dyDescent="0.2">
      <c r="B36" s="18" t="s">
        <v>147</v>
      </c>
      <c r="C36" s="19" t="s">
        <v>504</v>
      </c>
      <c r="D36" s="19" t="s">
        <v>788</v>
      </c>
      <c r="E36" s="20" t="s">
        <v>720</v>
      </c>
      <c r="F36" s="55">
        <f t="shared" ref="F36:F67" si="1">G36+H36+I36</f>
        <v>36124</v>
      </c>
      <c r="G36" s="55">
        <f>기계경비!AA200</f>
        <v>33571</v>
      </c>
      <c r="H36" s="55">
        <f>기계경비!AB200</f>
        <v>1810</v>
      </c>
      <c r="I36" s="65">
        <f>기계경비!AC200</f>
        <v>743</v>
      </c>
      <c r="Z36" s="17">
        <v>36124</v>
      </c>
      <c r="AA36" s="17">
        <v>33571</v>
      </c>
      <c r="AB36" s="17">
        <v>1810</v>
      </c>
      <c r="AC36" s="17">
        <v>743</v>
      </c>
    </row>
    <row r="37" spans="2:29" ht="19.7" customHeight="1" x14ac:dyDescent="0.2">
      <c r="B37" s="18" t="s">
        <v>502</v>
      </c>
      <c r="C37" s="19" t="s">
        <v>356</v>
      </c>
      <c r="D37" s="19" t="s">
        <v>245</v>
      </c>
      <c r="E37" s="20" t="s">
        <v>720</v>
      </c>
      <c r="F37" s="55">
        <f t="shared" si="1"/>
        <v>36518</v>
      </c>
      <c r="G37" s="55">
        <f>기계경비!AA206</f>
        <v>33571</v>
      </c>
      <c r="H37" s="55">
        <f>기계경비!AB206</f>
        <v>1886</v>
      </c>
      <c r="I37" s="65">
        <f>기계경비!AC206</f>
        <v>1061</v>
      </c>
      <c r="Z37" s="17">
        <v>36518</v>
      </c>
      <c r="AA37" s="17">
        <v>33571</v>
      </c>
      <c r="AB37" s="17">
        <v>1886</v>
      </c>
      <c r="AC37" s="17">
        <v>1061</v>
      </c>
    </row>
    <row r="38" spans="2:29" ht="19.7" customHeight="1" x14ac:dyDescent="0.2">
      <c r="B38" s="18" t="s">
        <v>82</v>
      </c>
      <c r="C38" s="19" t="s">
        <v>944</v>
      </c>
      <c r="D38" s="19" t="s">
        <v>829</v>
      </c>
      <c r="E38" s="20" t="s">
        <v>720</v>
      </c>
      <c r="F38" s="55">
        <f t="shared" si="1"/>
        <v>45009</v>
      </c>
      <c r="G38" s="55">
        <f>기계경비!AA212</f>
        <v>33571</v>
      </c>
      <c r="H38" s="55">
        <f>기계경비!AB212</f>
        <v>9562</v>
      </c>
      <c r="I38" s="65">
        <f>기계경비!AC212</f>
        <v>1876</v>
      </c>
      <c r="Z38" s="17">
        <v>45009</v>
      </c>
      <c r="AA38" s="17">
        <v>33571</v>
      </c>
      <c r="AB38" s="17">
        <v>9562</v>
      </c>
      <c r="AC38" s="17">
        <v>1876</v>
      </c>
    </row>
    <row r="39" spans="2:29" ht="19.7" customHeight="1" x14ac:dyDescent="0.2">
      <c r="B39" s="18" t="s">
        <v>627</v>
      </c>
      <c r="C39" s="19" t="s">
        <v>556</v>
      </c>
      <c r="D39" s="19" t="s">
        <v>152</v>
      </c>
      <c r="E39" s="20" t="s">
        <v>720</v>
      </c>
      <c r="F39" s="55">
        <f t="shared" si="1"/>
        <v>152473</v>
      </c>
      <c r="G39" s="55">
        <f>기계경비!AA218</f>
        <v>55699</v>
      </c>
      <c r="H39" s="55">
        <f>기계경비!AB218</f>
        <v>28703</v>
      </c>
      <c r="I39" s="65">
        <f>기계경비!AC218</f>
        <v>68071</v>
      </c>
      <c r="Z39" s="17">
        <v>152473</v>
      </c>
      <c r="AA39" s="17">
        <v>55699</v>
      </c>
      <c r="AB39" s="17">
        <v>28703</v>
      </c>
      <c r="AC39" s="17">
        <v>68071</v>
      </c>
    </row>
    <row r="40" spans="2:29" ht="19.7" customHeight="1" x14ac:dyDescent="0.2">
      <c r="B40" s="18" t="s">
        <v>252</v>
      </c>
      <c r="C40" s="19" t="s">
        <v>478</v>
      </c>
      <c r="D40" s="19" t="s">
        <v>636</v>
      </c>
      <c r="E40" s="20" t="s">
        <v>720</v>
      </c>
      <c r="F40" s="55">
        <f t="shared" si="1"/>
        <v>66817</v>
      </c>
      <c r="G40" s="55">
        <f>기계경비!AA224</f>
        <v>55699</v>
      </c>
      <c r="H40" s="55">
        <f>기계경비!AB224</f>
        <v>8838</v>
      </c>
      <c r="I40" s="65">
        <f>기계경비!AC224</f>
        <v>2280</v>
      </c>
      <c r="Z40" s="17">
        <v>66817</v>
      </c>
      <c r="AA40" s="17">
        <v>55699</v>
      </c>
      <c r="AB40" s="17">
        <v>8838</v>
      </c>
      <c r="AC40" s="17">
        <v>2280</v>
      </c>
    </row>
    <row r="41" spans="2:29" ht="19.7" customHeight="1" x14ac:dyDescent="0.2">
      <c r="B41" s="18" t="s">
        <v>642</v>
      </c>
      <c r="C41" s="19" t="s">
        <v>478</v>
      </c>
      <c r="D41" s="19" t="s">
        <v>403</v>
      </c>
      <c r="E41" s="20" t="s">
        <v>720</v>
      </c>
      <c r="F41" s="55">
        <f t="shared" si="1"/>
        <v>81417</v>
      </c>
      <c r="G41" s="55">
        <f>기계경비!AA230</f>
        <v>55699</v>
      </c>
      <c r="H41" s="55">
        <f>기계경비!AB230</f>
        <v>20244</v>
      </c>
      <c r="I41" s="65">
        <f>기계경비!AC230</f>
        <v>5474</v>
      </c>
      <c r="Z41" s="17">
        <v>81417</v>
      </c>
      <c r="AA41" s="17">
        <v>55699</v>
      </c>
      <c r="AB41" s="17">
        <v>20244</v>
      </c>
      <c r="AC41" s="17">
        <v>5474</v>
      </c>
    </row>
    <row r="42" spans="2:29" ht="19.7" customHeight="1" x14ac:dyDescent="0.2">
      <c r="B42" s="18" t="s">
        <v>223</v>
      </c>
      <c r="C42" s="19" t="s">
        <v>478</v>
      </c>
      <c r="D42" s="19" t="s">
        <v>887</v>
      </c>
      <c r="E42" s="20" t="s">
        <v>720</v>
      </c>
      <c r="F42" s="55">
        <f t="shared" si="1"/>
        <v>95191</v>
      </c>
      <c r="G42" s="55">
        <f>기계경비!AA236</f>
        <v>55699</v>
      </c>
      <c r="H42" s="55">
        <f>기계경비!AB236</f>
        <v>33502</v>
      </c>
      <c r="I42" s="65">
        <f>기계경비!AC236</f>
        <v>5990</v>
      </c>
      <c r="Z42" s="17">
        <v>95191</v>
      </c>
      <c r="AA42" s="17">
        <v>55699</v>
      </c>
      <c r="AB42" s="17">
        <v>33502</v>
      </c>
      <c r="AC42" s="17">
        <v>5990</v>
      </c>
    </row>
    <row r="43" spans="2:29" ht="19.7" customHeight="1" x14ac:dyDescent="0.2">
      <c r="B43" s="18" t="s">
        <v>353</v>
      </c>
      <c r="C43" s="19" t="s">
        <v>462</v>
      </c>
      <c r="D43" s="19" t="s">
        <v>172</v>
      </c>
      <c r="E43" s="20" t="s">
        <v>720</v>
      </c>
      <c r="F43" s="55">
        <f t="shared" si="1"/>
        <v>68014</v>
      </c>
      <c r="G43" s="55">
        <f>기계경비!AA242</f>
        <v>55699</v>
      </c>
      <c r="H43" s="55">
        <f>기계경비!AB242</f>
        <v>0</v>
      </c>
      <c r="I43" s="65">
        <f>기계경비!AC242</f>
        <v>12315</v>
      </c>
      <c r="Z43" s="17">
        <v>68014</v>
      </c>
      <c r="AA43" s="17">
        <v>55699</v>
      </c>
      <c r="AC43" s="17">
        <v>12315</v>
      </c>
    </row>
    <row r="44" spans="2:29" ht="19.7" customHeight="1" x14ac:dyDescent="0.2">
      <c r="B44" s="18" t="s">
        <v>773</v>
      </c>
      <c r="C44" s="19" t="s">
        <v>728</v>
      </c>
      <c r="D44" s="19" t="s">
        <v>575</v>
      </c>
      <c r="E44" s="20" t="s">
        <v>720</v>
      </c>
      <c r="F44" s="55">
        <f t="shared" si="1"/>
        <v>86452</v>
      </c>
      <c r="G44" s="55">
        <f>기계경비!AA246</f>
        <v>55699</v>
      </c>
      <c r="H44" s="55">
        <f>기계경비!AB246</f>
        <v>10972</v>
      </c>
      <c r="I44" s="65">
        <f>기계경비!AC246</f>
        <v>19781</v>
      </c>
      <c r="Z44" s="17">
        <v>86452</v>
      </c>
      <c r="AA44" s="17">
        <v>55699</v>
      </c>
      <c r="AB44" s="17">
        <v>10972</v>
      </c>
      <c r="AC44" s="17">
        <v>19781</v>
      </c>
    </row>
    <row r="45" spans="2:29" ht="19.7" customHeight="1" x14ac:dyDescent="0.2">
      <c r="B45" s="18" t="s">
        <v>456</v>
      </c>
      <c r="C45" s="19" t="s">
        <v>454</v>
      </c>
      <c r="D45" s="19" t="s">
        <v>206</v>
      </c>
      <c r="E45" s="20" t="s">
        <v>720</v>
      </c>
      <c r="F45" s="55">
        <f t="shared" si="1"/>
        <v>292680</v>
      </c>
      <c r="G45" s="55">
        <f>기계경비!AA253</f>
        <v>55699</v>
      </c>
      <c r="H45" s="55">
        <f>기계경비!AB253</f>
        <v>75131</v>
      </c>
      <c r="I45" s="65">
        <f>기계경비!AC253</f>
        <v>161850</v>
      </c>
      <c r="Z45" s="17">
        <v>292680</v>
      </c>
      <c r="AA45" s="17">
        <v>55699</v>
      </c>
      <c r="AB45" s="17">
        <v>75131</v>
      </c>
      <c r="AC45" s="17">
        <v>161850</v>
      </c>
    </row>
    <row r="46" spans="2:29" ht="19.7" customHeight="1" x14ac:dyDescent="0.2">
      <c r="B46" s="18" t="s">
        <v>846</v>
      </c>
      <c r="C46" s="19" t="s">
        <v>559</v>
      </c>
      <c r="D46" s="19" t="s">
        <v>22</v>
      </c>
      <c r="E46" s="20" t="s">
        <v>720</v>
      </c>
      <c r="F46" s="55">
        <f t="shared" si="1"/>
        <v>1189</v>
      </c>
      <c r="G46" s="55">
        <f>기계경비!AA259</f>
        <v>0</v>
      </c>
      <c r="H46" s="55">
        <f>기계경비!AB259</f>
        <v>0</v>
      </c>
      <c r="I46" s="65">
        <f>기계경비!AC259</f>
        <v>1189</v>
      </c>
      <c r="Z46" s="17">
        <v>1189</v>
      </c>
      <c r="AC46" s="17">
        <v>1189</v>
      </c>
    </row>
    <row r="47" spans="2:29" ht="19.7" customHeight="1" x14ac:dyDescent="0.2">
      <c r="B47" s="18" t="s">
        <v>260</v>
      </c>
      <c r="C47" s="19" t="s">
        <v>329</v>
      </c>
      <c r="D47" s="19" t="s">
        <v>196</v>
      </c>
      <c r="E47" s="20" t="s">
        <v>720</v>
      </c>
      <c r="F47" s="55">
        <f t="shared" si="1"/>
        <v>22083</v>
      </c>
      <c r="G47" s="55">
        <f>기계경비!AA262</f>
        <v>0</v>
      </c>
      <c r="H47" s="55">
        <f>기계경비!AB262</f>
        <v>0</v>
      </c>
      <c r="I47" s="65">
        <f>기계경비!AC262</f>
        <v>22083</v>
      </c>
      <c r="Z47" s="17">
        <v>22083</v>
      </c>
      <c r="AC47" s="17">
        <v>22083</v>
      </c>
    </row>
    <row r="48" spans="2:29" ht="19.7" customHeight="1" x14ac:dyDescent="0.2">
      <c r="B48" s="18" t="s">
        <v>797</v>
      </c>
      <c r="C48" s="19" t="s">
        <v>737</v>
      </c>
      <c r="D48" s="19" t="s">
        <v>668</v>
      </c>
      <c r="E48" s="20" t="s">
        <v>720</v>
      </c>
      <c r="F48" s="55">
        <f t="shared" si="1"/>
        <v>2346</v>
      </c>
      <c r="G48" s="55">
        <f>기계경비!AA265</f>
        <v>0</v>
      </c>
      <c r="H48" s="55">
        <f>기계경비!AB265</f>
        <v>0</v>
      </c>
      <c r="I48" s="65">
        <f>기계경비!AC265</f>
        <v>2346</v>
      </c>
      <c r="Z48" s="17">
        <v>2346</v>
      </c>
      <c r="AC48" s="17">
        <v>2346</v>
      </c>
    </row>
    <row r="49" spans="2:29" ht="19.7" customHeight="1" x14ac:dyDescent="0.2">
      <c r="B49" s="18" t="s">
        <v>425</v>
      </c>
      <c r="C49" s="19" t="s">
        <v>737</v>
      </c>
      <c r="D49" s="19" t="s">
        <v>859</v>
      </c>
      <c r="E49" s="20" t="s">
        <v>720</v>
      </c>
      <c r="F49" s="55">
        <f t="shared" si="1"/>
        <v>8088</v>
      </c>
      <c r="G49" s="55">
        <f>기계경비!AA268</f>
        <v>0</v>
      </c>
      <c r="H49" s="55">
        <f>기계경비!AB268</f>
        <v>0</v>
      </c>
      <c r="I49" s="65">
        <f>기계경비!AC268</f>
        <v>8088</v>
      </c>
      <c r="Z49" s="17">
        <v>8088</v>
      </c>
      <c r="AC49" s="17">
        <v>8088</v>
      </c>
    </row>
    <row r="50" spans="2:29" ht="19.7" customHeight="1" x14ac:dyDescent="0.2">
      <c r="B50" s="18" t="s">
        <v>931</v>
      </c>
      <c r="C50" s="19" t="s">
        <v>292</v>
      </c>
      <c r="D50" s="19" t="s">
        <v>847</v>
      </c>
      <c r="E50" s="20" t="s">
        <v>720</v>
      </c>
      <c r="F50" s="55">
        <f t="shared" si="1"/>
        <v>29204</v>
      </c>
      <c r="G50" s="55">
        <f>기계경비!AA271</f>
        <v>0</v>
      </c>
      <c r="H50" s="55">
        <f>기계경비!AB271</f>
        <v>0</v>
      </c>
      <c r="I50" s="65">
        <f>기계경비!AC271</f>
        <v>29204</v>
      </c>
      <c r="Z50" s="17">
        <v>29204</v>
      </c>
      <c r="AC50" s="17">
        <v>29204</v>
      </c>
    </row>
    <row r="51" spans="2:29" ht="19.7" customHeight="1" x14ac:dyDescent="0.2">
      <c r="B51" s="18" t="s">
        <v>407</v>
      </c>
      <c r="C51" s="19" t="s">
        <v>302</v>
      </c>
      <c r="D51" s="19" t="s">
        <v>28</v>
      </c>
      <c r="E51" s="20" t="s">
        <v>720</v>
      </c>
      <c r="F51" s="55">
        <f t="shared" si="1"/>
        <v>20782</v>
      </c>
      <c r="G51" s="55">
        <f>기계경비!AA274</f>
        <v>0</v>
      </c>
      <c r="H51" s="55">
        <f>기계경비!AB274</f>
        <v>0</v>
      </c>
      <c r="I51" s="65">
        <f>기계경비!AC274</f>
        <v>20782</v>
      </c>
      <c r="Z51" s="17">
        <v>20782</v>
      </c>
      <c r="AC51" s="17">
        <v>20782</v>
      </c>
    </row>
    <row r="52" spans="2:29" ht="19.7" customHeight="1" x14ac:dyDescent="0.2">
      <c r="B52" s="18" t="s">
        <v>963</v>
      </c>
      <c r="C52" s="19" t="s">
        <v>302</v>
      </c>
      <c r="D52" s="19" t="s">
        <v>710</v>
      </c>
      <c r="E52" s="20" t="s">
        <v>720</v>
      </c>
      <c r="F52" s="55">
        <f t="shared" si="1"/>
        <v>25932</v>
      </c>
      <c r="G52" s="55">
        <f>기계경비!AA277</f>
        <v>0</v>
      </c>
      <c r="H52" s="55">
        <f>기계경비!AB277</f>
        <v>0</v>
      </c>
      <c r="I52" s="65">
        <f>기계경비!AC277</f>
        <v>25932</v>
      </c>
      <c r="Z52" s="17">
        <v>25932</v>
      </c>
      <c r="AC52" s="17">
        <v>25932</v>
      </c>
    </row>
    <row r="53" spans="2:29" ht="19.7" customHeight="1" x14ac:dyDescent="0.2">
      <c r="B53" s="18" t="s">
        <v>100</v>
      </c>
      <c r="C53" s="19" t="s">
        <v>302</v>
      </c>
      <c r="D53" s="19" t="s">
        <v>330</v>
      </c>
      <c r="E53" s="20" t="s">
        <v>720</v>
      </c>
      <c r="F53" s="55">
        <f t="shared" si="1"/>
        <v>28905</v>
      </c>
      <c r="G53" s="55">
        <f>기계경비!AA280</f>
        <v>0</v>
      </c>
      <c r="H53" s="55">
        <f>기계경비!AB280</f>
        <v>0</v>
      </c>
      <c r="I53" s="65">
        <f>기계경비!AC280</f>
        <v>28905</v>
      </c>
      <c r="Z53" s="17">
        <v>28905</v>
      </c>
      <c r="AC53" s="17">
        <v>28905</v>
      </c>
    </row>
    <row r="54" spans="2:29" ht="19.7" customHeight="1" x14ac:dyDescent="0.2">
      <c r="B54" s="18" t="s">
        <v>530</v>
      </c>
      <c r="C54" s="19" t="s">
        <v>302</v>
      </c>
      <c r="D54" s="19" t="s">
        <v>207</v>
      </c>
      <c r="E54" s="20" t="s">
        <v>720</v>
      </c>
      <c r="F54" s="55">
        <f t="shared" si="1"/>
        <v>37113</v>
      </c>
      <c r="G54" s="55">
        <f>기계경비!AA283</f>
        <v>0</v>
      </c>
      <c r="H54" s="55">
        <f>기계경비!AB283</f>
        <v>0</v>
      </c>
      <c r="I54" s="65">
        <f>기계경비!AC283</f>
        <v>37113</v>
      </c>
      <c r="Z54" s="17">
        <v>37113</v>
      </c>
      <c r="AC54" s="17">
        <v>37113</v>
      </c>
    </row>
    <row r="55" spans="2:29" ht="19.7" customHeight="1" x14ac:dyDescent="0.2">
      <c r="B55" s="18" t="s">
        <v>215</v>
      </c>
      <c r="C55" s="19" t="s">
        <v>127</v>
      </c>
      <c r="D55" s="19" t="s">
        <v>357</v>
      </c>
      <c r="E55" s="20" t="s">
        <v>720</v>
      </c>
      <c r="F55" s="55">
        <f t="shared" si="1"/>
        <v>88569</v>
      </c>
      <c r="G55" s="55">
        <f>기계경비!AA286</f>
        <v>55699</v>
      </c>
      <c r="H55" s="55">
        <f>기계경비!AB286</f>
        <v>13302</v>
      </c>
      <c r="I55" s="65">
        <f>기계경비!AC286</f>
        <v>19568</v>
      </c>
      <c r="Z55" s="17">
        <v>88569</v>
      </c>
      <c r="AA55" s="17">
        <v>55699</v>
      </c>
      <c r="AB55" s="17">
        <v>13302</v>
      </c>
      <c r="AC55" s="17">
        <v>19568</v>
      </c>
    </row>
    <row r="56" spans="2:29" ht="19.7" customHeight="1" x14ac:dyDescent="0.2">
      <c r="B56" s="18" t="s">
        <v>600</v>
      </c>
      <c r="C56" s="19" t="s">
        <v>127</v>
      </c>
      <c r="D56" s="19" t="s">
        <v>248</v>
      </c>
      <c r="E56" s="20" t="s">
        <v>720</v>
      </c>
      <c r="F56" s="55">
        <f t="shared" si="1"/>
        <v>120059</v>
      </c>
      <c r="G56" s="55">
        <f>기계경비!AA292</f>
        <v>55699</v>
      </c>
      <c r="H56" s="55">
        <f>기계경비!AB292</f>
        <v>19614</v>
      </c>
      <c r="I56" s="65">
        <f>기계경비!AC292</f>
        <v>44746</v>
      </c>
      <c r="Z56" s="17">
        <v>120059</v>
      </c>
      <c r="AA56" s="17">
        <v>55699</v>
      </c>
      <c r="AB56" s="17">
        <v>19614</v>
      </c>
      <c r="AC56" s="17">
        <v>44746</v>
      </c>
    </row>
    <row r="57" spans="2:29" ht="19.7" customHeight="1" x14ac:dyDescent="0.2">
      <c r="B57" s="18" t="s">
        <v>12</v>
      </c>
      <c r="C57" s="19" t="s">
        <v>9</v>
      </c>
      <c r="D57" s="19" t="s">
        <v>168</v>
      </c>
      <c r="E57" s="20" t="s">
        <v>720</v>
      </c>
      <c r="F57" s="55">
        <f t="shared" si="1"/>
        <v>71559</v>
      </c>
      <c r="G57" s="55">
        <f>기계경비!AA298</f>
        <v>47231</v>
      </c>
      <c r="H57" s="55">
        <f>기계경비!AB298</f>
        <v>14858</v>
      </c>
      <c r="I57" s="65">
        <f>기계경비!AC298</f>
        <v>9470</v>
      </c>
      <c r="Z57" s="17">
        <v>71559</v>
      </c>
      <c r="AA57" s="17">
        <v>47231</v>
      </c>
      <c r="AB57" s="17">
        <v>14858</v>
      </c>
      <c r="AC57" s="17">
        <v>9470</v>
      </c>
    </row>
    <row r="58" spans="2:29" ht="19.7" customHeight="1" x14ac:dyDescent="0.2">
      <c r="B58" s="18" t="s">
        <v>558</v>
      </c>
      <c r="C58" s="19" t="s">
        <v>9</v>
      </c>
      <c r="D58" s="19" t="s">
        <v>227</v>
      </c>
      <c r="E58" s="20" t="s">
        <v>720</v>
      </c>
      <c r="F58" s="55">
        <f t="shared" si="1"/>
        <v>86004</v>
      </c>
      <c r="G58" s="55">
        <f>기계경비!AA304</f>
        <v>47231</v>
      </c>
      <c r="H58" s="55">
        <f>기계경비!AB304</f>
        <v>20610</v>
      </c>
      <c r="I58" s="65">
        <f>기계경비!AC304</f>
        <v>18163</v>
      </c>
      <c r="Z58" s="17">
        <v>86004</v>
      </c>
      <c r="AA58" s="17">
        <v>47231</v>
      </c>
      <c r="AB58" s="17">
        <v>20610</v>
      </c>
      <c r="AC58" s="17">
        <v>18163</v>
      </c>
    </row>
    <row r="59" spans="2:29" ht="19.7" customHeight="1" x14ac:dyDescent="0.2">
      <c r="B59" s="18" t="s">
        <v>185</v>
      </c>
      <c r="C59" s="19" t="s">
        <v>806</v>
      </c>
      <c r="D59" s="19" t="s">
        <v>263</v>
      </c>
      <c r="E59" s="20" t="s">
        <v>720</v>
      </c>
      <c r="F59" s="55">
        <f t="shared" si="1"/>
        <v>2463</v>
      </c>
      <c r="G59" s="55">
        <f>기계경비!AA310</f>
        <v>0</v>
      </c>
      <c r="H59" s="55">
        <f>기계경비!AB310</f>
        <v>2219</v>
      </c>
      <c r="I59" s="65">
        <f>기계경비!AC310</f>
        <v>244</v>
      </c>
      <c r="Z59" s="17">
        <v>2463</v>
      </c>
      <c r="AB59" s="17">
        <v>2219</v>
      </c>
      <c r="AC59" s="17">
        <v>244</v>
      </c>
    </row>
    <row r="60" spans="2:29" ht="19.7" customHeight="1" x14ac:dyDescent="0.2">
      <c r="B60" s="23" t="s">
        <v>686</v>
      </c>
      <c r="C60" s="24" t="s">
        <v>156</v>
      </c>
      <c r="D60" s="24" t="s">
        <v>179</v>
      </c>
      <c r="E60" s="25" t="s">
        <v>720</v>
      </c>
      <c r="F60" s="64">
        <f t="shared" si="1"/>
        <v>75325</v>
      </c>
      <c r="G60" s="64">
        <f>기계경비!AA315</f>
        <v>33571</v>
      </c>
      <c r="H60" s="64">
        <f>기계경비!AB315</f>
        <v>26457</v>
      </c>
      <c r="I60" s="66">
        <f>기계경비!AC315</f>
        <v>15297</v>
      </c>
      <c r="Z60" s="17">
        <v>75325</v>
      </c>
      <c r="AA60" s="17">
        <v>33571</v>
      </c>
      <c r="AB60" s="17">
        <v>26457</v>
      </c>
      <c r="AC60" s="17">
        <v>15297</v>
      </c>
    </row>
    <row r="61" spans="2:29" ht="19.7" customHeight="1" x14ac:dyDescent="0.2">
      <c r="B61" s="18" t="s">
        <v>155</v>
      </c>
      <c r="C61" s="19" t="s">
        <v>99</v>
      </c>
      <c r="D61" s="19" t="s">
        <v>821</v>
      </c>
      <c r="E61" s="20" t="s">
        <v>720</v>
      </c>
      <c r="F61" s="55">
        <f t="shared" si="1"/>
        <v>51276</v>
      </c>
      <c r="G61" s="55">
        <f>기계경비!AA321</f>
        <v>33571</v>
      </c>
      <c r="H61" s="55">
        <f>기계경비!AB321</f>
        <v>13258</v>
      </c>
      <c r="I61" s="65">
        <f>기계경비!AC321</f>
        <v>4447</v>
      </c>
      <c r="Z61" s="17">
        <v>51276</v>
      </c>
      <c r="AA61" s="17">
        <v>33571</v>
      </c>
      <c r="AB61" s="17">
        <v>13258</v>
      </c>
      <c r="AC61" s="17">
        <v>4447</v>
      </c>
    </row>
    <row r="62" spans="2:29" ht="19.7" customHeight="1" x14ac:dyDescent="0.2">
      <c r="B62" s="18" t="s">
        <v>716</v>
      </c>
      <c r="C62" s="19" t="s">
        <v>99</v>
      </c>
      <c r="D62" s="19" t="s">
        <v>834</v>
      </c>
      <c r="E62" s="20" t="s">
        <v>720</v>
      </c>
      <c r="F62" s="55">
        <f t="shared" si="1"/>
        <v>65490</v>
      </c>
      <c r="G62" s="55">
        <f>기계경비!AA327</f>
        <v>33571</v>
      </c>
      <c r="H62" s="55">
        <f>기계경비!AB327</f>
        <v>26516</v>
      </c>
      <c r="I62" s="65">
        <f>기계경비!AC327</f>
        <v>5403</v>
      </c>
      <c r="Z62" s="17">
        <v>65490</v>
      </c>
      <c r="AA62" s="17">
        <v>33571</v>
      </c>
      <c r="AB62" s="17">
        <v>26516</v>
      </c>
      <c r="AC62" s="17">
        <v>5403</v>
      </c>
    </row>
    <row r="63" spans="2:29" ht="19.7" customHeight="1" x14ac:dyDescent="0.2">
      <c r="B63" s="18" t="s">
        <v>818</v>
      </c>
      <c r="C63" s="19" t="s">
        <v>99</v>
      </c>
      <c r="D63" s="19" t="s">
        <v>882</v>
      </c>
      <c r="E63" s="20" t="s">
        <v>720</v>
      </c>
      <c r="F63" s="55">
        <f t="shared" si="1"/>
        <v>75419</v>
      </c>
      <c r="G63" s="55">
        <f>기계경비!AA333</f>
        <v>33571</v>
      </c>
      <c r="H63" s="55">
        <f>기계경비!AB333</f>
        <v>35051</v>
      </c>
      <c r="I63" s="65">
        <f>기계경비!AC333</f>
        <v>6797</v>
      </c>
      <c r="Z63" s="17">
        <v>75419</v>
      </c>
      <c r="AA63" s="17">
        <v>33571</v>
      </c>
      <c r="AB63" s="17">
        <v>35051</v>
      </c>
      <c r="AC63" s="17">
        <v>6797</v>
      </c>
    </row>
    <row r="64" spans="2:29" ht="19.7" customHeight="1" x14ac:dyDescent="0.2">
      <c r="B64" s="18" t="s">
        <v>306</v>
      </c>
      <c r="C64" s="19" t="s">
        <v>99</v>
      </c>
      <c r="D64" s="19" t="s">
        <v>59</v>
      </c>
      <c r="E64" s="20" t="s">
        <v>720</v>
      </c>
      <c r="F64" s="55">
        <f t="shared" si="1"/>
        <v>89044</v>
      </c>
      <c r="G64" s="55">
        <f>기계경비!AA339</f>
        <v>33571</v>
      </c>
      <c r="H64" s="55">
        <f>기계경비!AB339</f>
        <v>46633</v>
      </c>
      <c r="I64" s="65">
        <f>기계경비!AC339</f>
        <v>8840</v>
      </c>
      <c r="Z64" s="17">
        <v>89044</v>
      </c>
      <c r="AA64" s="17">
        <v>33571</v>
      </c>
      <c r="AB64" s="17">
        <v>46633</v>
      </c>
      <c r="AC64" s="17">
        <v>8840</v>
      </c>
    </row>
    <row r="65" spans="2:29" ht="19.7" customHeight="1" x14ac:dyDescent="0.2">
      <c r="B65" s="18" t="s">
        <v>918</v>
      </c>
      <c r="C65" s="19" t="s">
        <v>99</v>
      </c>
      <c r="D65" s="19" t="s">
        <v>240</v>
      </c>
      <c r="E65" s="20" t="s">
        <v>720</v>
      </c>
      <c r="F65" s="55">
        <f t="shared" si="1"/>
        <v>103669</v>
      </c>
      <c r="G65" s="55">
        <f>기계경비!AA345</f>
        <v>33571</v>
      </c>
      <c r="H65" s="55">
        <f>기계경비!AB345</f>
        <v>58367</v>
      </c>
      <c r="I65" s="65">
        <f>기계경비!AC345</f>
        <v>11731</v>
      </c>
      <c r="Z65" s="17">
        <v>103669</v>
      </c>
      <c r="AA65" s="17">
        <v>33571</v>
      </c>
      <c r="AB65" s="17">
        <v>58367</v>
      </c>
      <c r="AC65" s="17">
        <v>11731</v>
      </c>
    </row>
    <row r="66" spans="2:29" ht="19.7" customHeight="1" x14ac:dyDescent="0.2">
      <c r="B66" s="18" t="s">
        <v>381</v>
      </c>
      <c r="C66" s="19" t="s">
        <v>99</v>
      </c>
      <c r="D66" s="19" t="s">
        <v>584</v>
      </c>
      <c r="E66" s="20" t="s">
        <v>720</v>
      </c>
      <c r="F66" s="55">
        <f t="shared" si="1"/>
        <v>159439</v>
      </c>
      <c r="G66" s="55">
        <f>기계경비!AA351</f>
        <v>33571</v>
      </c>
      <c r="H66" s="55">
        <f>기계경비!AB351</f>
        <v>105000</v>
      </c>
      <c r="I66" s="65">
        <f>기계경비!AC351</f>
        <v>20868</v>
      </c>
      <c r="Z66" s="17">
        <v>159439</v>
      </c>
      <c r="AA66" s="17">
        <v>33571</v>
      </c>
      <c r="AB66" s="17">
        <v>105000</v>
      </c>
      <c r="AC66" s="17">
        <v>20868</v>
      </c>
    </row>
    <row r="67" spans="2:29" ht="19.7" customHeight="1" x14ac:dyDescent="0.2">
      <c r="B67" s="18" t="s">
        <v>723</v>
      </c>
      <c r="C67" s="19" t="s">
        <v>760</v>
      </c>
      <c r="D67" s="19" t="s">
        <v>344</v>
      </c>
      <c r="E67" s="20" t="s">
        <v>720</v>
      </c>
      <c r="F67" s="55">
        <f t="shared" si="1"/>
        <v>113</v>
      </c>
      <c r="G67" s="55">
        <f>기계경비!AA357</f>
        <v>0</v>
      </c>
      <c r="H67" s="55">
        <f>기계경비!AB357</f>
        <v>0</v>
      </c>
      <c r="I67" s="65">
        <f>기계경비!AC357</f>
        <v>113</v>
      </c>
      <c r="Z67" s="17">
        <v>113</v>
      </c>
      <c r="AC67" s="17">
        <v>113</v>
      </c>
    </row>
    <row r="68" spans="2:29" ht="19.7" customHeight="1" x14ac:dyDescent="0.2">
      <c r="B68" s="18" t="s">
        <v>337</v>
      </c>
      <c r="C68" s="19" t="s">
        <v>241</v>
      </c>
      <c r="D68" s="19" t="s">
        <v>893</v>
      </c>
      <c r="E68" s="20" t="s">
        <v>720</v>
      </c>
      <c r="F68" s="55">
        <f t="shared" ref="F68:F82" si="2">G68+H68+I68</f>
        <v>67</v>
      </c>
      <c r="G68" s="55">
        <f>기계경비!AA360</f>
        <v>0</v>
      </c>
      <c r="H68" s="55">
        <f>기계경비!AB360</f>
        <v>0</v>
      </c>
      <c r="I68" s="65">
        <f>기계경비!AC360</f>
        <v>67</v>
      </c>
      <c r="Z68" s="17">
        <v>67</v>
      </c>
      <c r="AC68" s="17">
        <v>67</v>
      </c>
    </row>
    <row r="69" spans="2:29" ht="19.7" customHeight="1" x14ac:dyDescent="0.2">
      <c r="B69" s="18" t="s">
        <v>885</v>
      </c>
      <c r="C69" s="19" t="s">
        <v>241</v>
      </c>
      <c r="D69" s="19" t="s">
        <v>810</v>
      </c>
      <c r="E69" s="20" t="s">
        <v>720</v>
      </c>
      <c r="F69" s="55">
        <f t="shared" si="2"/>
        <v>301</v>
      </c>
      <c r="G69" s="55">
        <f>기계경비!AA363</f>
        <v>0</v>
      </c>
      <c r="H69" s="55">
        <f>기계경비!AB363</f>
        <v>0</v>
      </c>
      <c r="I69" s="65">
        <f>기계경비!AC363</f>
        <v>301</v>
      </c>
      <c r="Z69" s="17">
        <v>301</v>
      </c>
      <c r="AC69" s="17">
        <v>301</v>
      </c>
    </row>
    <row r="70" spans="2:29" ht="19.7" customHeight="1" x14ac:dyDescent="0.2">
      <c r="B70" s="18" t="s">
        <v>466</v>
      </c>
      <c r="C70" s="19" t="s">
        <v>501</v>
      </c>
      <c r="D70" s="19" t="s">
        <v>57</v>
      </c>
      <c r="E70" s="20" t="s">
        <v>720</v>
      </c>
      <c r="F70" s="55">
        <f t="shared" si="2"/>
        <v>1545</v>
      </c>
      <c r="G70" s="55">
        <f>기계경비!AA366</f>
        <v>0</v>
      </c>
      <c r="H70" s="55">
        <f>기계경비!AB366</f>
        <v>1425</v>
      </c>
      <c r="I70" s="65">
        <f>기계경비!AC366</f>
        <v>120</v>
      </c>
      <c r="Z70" s="17">
        <v>1545</v>
      </c>
      <c r="AB70" s="17">
        <v>1425</v>
      </c>
      <c r="AC70" s="17">
        <v>120</v>
      </c>
    </row>
    <row r="71" spans="2:29" ht="19.7" customHeight="1" x14ac:dyDescent="0.2">
      <c r="B71" s="18" t="s">
        <v>878</v>
      </c>
      <c r="C71" s="19" t="s">
        <v>501</v>
      </c>
      <c r="D71" s="19" t="s">
        <v>869</v>
      </c>
      <c r="E71" s="20" t="s">
        <v>720</v>
      </c>
      <c r="F71" s="55">
        <f t="shared" si="2"/>
        <v>2596</v>
      </c>
      <c r="G71" s="55">
        <f>기계경비!AA371</f>
        <v>0</v>
      </c>
      <c r="H71" s="55">
        <f>기계경비!AB371</f>
        <v>2281</v>
      </c>
      <c r="I71" s="65">
        <f>기계경비!AC371</f>
        <v>315</v>
      </c>
      <c r="Z71" s="17">
        <v>2596</v>
      </c>
      <c r="AB71" s="17">
        <v>2281</v>
      </c>
      <c r="AC71" s="17">
        <v>315</v>
      </c>
    </row>
    <row r="72" spans="2:29" ht="19.7" customHeight="1" x14ac:dyDescent="0.2">
      <c r="B72" s="18" t="s">
        <v>481</v>
      </c>
      <c r="C72" s="19" t="s">
        <v>928</v>
      </c>
      <c r="D72" s="19" t="s">
        <v>766</v>
      </c>
      <c r="E72" s="20" t="s">
        <v>720</v>
      </c>
      <c r="F72" s="55">
        <f t="shared" si="2"/>
        <v>24</v>
      </c>
      <c r="G72" s="55">
        <f>기계경비!AA376</f>
        <v>0</v>
      </c>
      <c r="H72" s="55">
        <f>기계경비!AB376</f>
        <v>0</v>
      </c>
      <c r="I72" s="65">
        <f>기계경비!AC376</f>
        <v>24</v>
      </c>
      <c r="Z72" s="17">
        <v>24</v>
      </c>
      <c r="AC72" s="17">
        <v>24</v>
      </c>
    </row>
    <row r="73" spans="2:29" ht="19.7" customHeight="1" x14ac:dyDescent="0.2">
      <c r="B73" s="18" t="s">
        <v>571</v>
      </c>
      <c r="C73" s="19" t="s">
        <v>324</v>
      </c>
      <c r="D73" s="19" t="s">
        <v>798</v>
      </c>
      <c r="E73" s="20" t="s">
        <v>720</v>
      </c>
      <c r="F73" s="55">
        <f t="shared" si="2"/>
        <v>45</v>
      </c>
      <c r="G73" s="55">
        <f>기계경비!AA379</f>
        <v>0</v>
      </c>
      <c r="H73" s="55">
        <f>기계경비!AB379</f>
        <v>0</v>
      </c>
      <c r="I73" s="65">
        <f>기계경비!AC379</f>
        <v>45</v>
      </c>
      <c r="Z73" s="17">
        <v>45</v>
      </c>
      <c r="AC73" s="17">
        <v>45</v>
      </c>
    </row>
    <row r="74" spans="2:29" ht="19.7" customHeight="1" x14ac:dyDescent="0.2">
      <c r="B74" s="18" t="s">
        <v>62</v>
      </c>
      <c r="C74" s="19" t="s">
        <v>440</v>
      </c>
      <c r="D74" s="19" t="s">
        <v>45</v>
      </c>
      <c r="E74" s="20" t="s">
        <v>720</v>
      </c>
      <c r="F74" s="55">
        <f t="shared" si="2"/>
        <v>928</v>
      </c>
      <c r="G74" s="55">
        <f>기계경비!AA382</f>
        <v>0</v>
      </c>
      <c r="H74" s="55">
        <f>기계경비!AB382</f>
        <v>0</v>
      </c>
      <c r="I74" s="65">
        <f>기계경비!AC382</f>
        <v>928</v>
      </c>
      <c r="Z74" s="17">
        <v>928</v>
      </c>
      <c r="AC74" s="17">
        <v>928</v>
      </c>
    </row>
    <row r="75" spans="2:29" ht="19.7" customHeight="1" x14ac:dyDescent="0.2">
      <c r="B75" s="18" t="s">
        <v>665</v>
      </c>
      <c r="C75" s="19" t="s">
        <v>687</v>
      </c>
      <c r="D75" s="19" t="s">
        <v>962</v>
      </c>
      <c r="E75" s="20" t="s">
        <v>720</v>
      </c>
      <c r="F75" s="55">
        <f t="shared" si="2"/>
        <v>643</v>
      </c>
      <c r="G75" s="55">
        <f>기계경비!AA385</f>
        <v>0</v>
      </c>
      <c r="H75" s="55">
        <f>기계경비!AB385</f>
        <v>0</v>
      </c>
      <c r="I75" s="65">
        <f>기계경비!AC385</f>
        <v>643</v>
      </c>
      <c r="Z75" s="17">
        <v>643</v>
      </c>
      <c r="AC75" s="17">
        <v>643</v>
      </c>
    </row>
    <row r="76" spans="2:29" ht="19.7" customHeight="1" x14ac:dyDescent="0.2">
      <c r="B76" s="18" t="s">
        <v>130</v>
      </c>
      <c r="C76" s="19" t="s">
        <v>527</v>
      </c>
      <c r="D76" s="19" t="s">
        <v>774</v>
      </c>
      <c r="E76" s="20" t="s">
        <v>720</v>
      </c>
      <c r="F76" s="55">
        <f t="shared" si="2"/>
        <v>56</v>
      </c>
      <c r="G76" s="55">
        <f>기계경비!AA388</f>
        <v>0</v>
      </c>
      <c r="H76" s="55">
        <f>기계경비!AB388</f>
        <v>0</v>
      </c>
      <c r="I76" s="65">
        <f>기계경비!AC388</f>
        <v>56</v>
      </c>
      <c r="Z76" s="17">
        <v>56</v>
      </c>
      <c r="AC76" s="17">
        <v>56</v>
      </c>
    </row>
    <row r="77" spans="2:29" ht="19.7" customHeight="1" x14ac:dyDescent="0.2">
      <c r="B77" s="18" t="s">
        <v>494</v>
      </c>
      <c r="C77" s="19" t="s">
        <v>375</v>
      </c>
      <c r="D77" s="19" t="s">
        <v>204</v>
      </c>
      <c r="E77" s="20" t="s">
        <v>720</v>
      </c>
      <c r="F77" s="55">
        <f t="shared" si="2"/>
        <v>112</v>
      </c>
      <c r="G77" s="55">
        <f>기계경비!AA391</f>
        <v>0</v>
      </c>
      <c r="H77" s="55">
        <f>기계경비!AB391</f>
        <v>0</v>
      </c>
      <c r="I77" s="65">
        <f>기계경비!AC391</f>
        <v>112</v>
      </c>
      <c r="Z77" s="17">
        <v>112</v>
      </c>
      <c r="AC77" s="17">
        <v>112</v>
      </c>
    </row>
    <row r="78" spans="2:29" ht="19.7" customHeight="1" x14ac:dyDescent="0.2">
      <c r="B78" s="18" t="s">
        <v>91</v>
      </c>
      <c r="C78" s="19" t="s">
        <v>438</v>
      </c>
      <c r="D78" s="19" t="s">
        <v>962</v>
      </c>
      <c r="E78" s="20" t="s">
        <v>720</v>
      </c>
      <c r="F78" s="55">
        <f t="shared" si="2"/>
        <v>85</v>
      </c>
      <c r="G78" s="55">
        <f>기계경비!AA394</f>
        <v>0</v>
      </c>
      <c r="H78" s="55">
        <f>기계경비!AB394</f>
        <v>0</v>
      </c>
      <c r="I78" s="65">
        <f>기계경비!AC394</f>
        <v>85</v>
      </c>
      <c r="Z78" s="17">
        <v>85</v>
      </c>
      <c r="AC78" s="17">
        <v>85</v>
      </c>
    </row>
    <row r="79" spans="2:29" ht="19.7" customHeight="1" x14ac:dyDescent="0.2">
      <c r="B79" s="18" t="s">
        <v>640</v>
      </c>
      <c r="C79" s="19" t="s">
        <v>486</v>
      </c>
      <c r="D79" s="19" t="s">
        <v>962</v>
      </c>
      <c r="E79" s="20" t="s">
        <v>720</v>
      </c>
      <c r="F79" s="55">
        <f t="shared" si="2"/>
        <v>1715</v>
      </c>
      <c r="G79" s="55">
        <f>기계경비!AA397</f>
        <v>0</v>
      </c>
      <c r="H79" s="55">
        <f>기계경비!AB397</f>
        <v>0</v>
      </c>
      <c r="I79" s="65">
        <f>기계경비!AC397</f>
        <v>1715</v>
      </c>
      <c r="Z79" s="17">
        <v>1715</v>
      </c>
      <c r="AC79" s="17">
        <v>1715</v>
      </c>
    </row>
    <row r="80" spans="2:29" ht="19.7" customHeight="1" x14ac:dyDescent="0.2">
      <c r="B80" s="18" t="s">
        <v>239</v>
      </c>
      <c r="C80" s="19" t="s">
        <v>949</v>
      </c>
      <c r="D80" s="19" t="s">
        <v>327</v>
      </c>
      <c r="E80" s="20" t="s">
        <v>720</v>
      </c>
      <c r="F80" s="55">
        <f t="shared" si="2"/>
        <v>5415</v>
      </c>
      <c r="G80" s="55">
        <f>기계경비!AA400</f>
        <v>0</v>
      </c>
      <c r="H80" s="55">
        <f>기계경비!AB400</f>
        <v>0</v>
      </c>
      <c r="I80" s="65">
        <f>기계경비!AC400</f>
        <v>5415</v>
      </c>
      <c r="Z80" s="17">
        <v>5415</v>
      </c>
      <c r="AC80" s="17">
        <v>5415</v>
      </c>
    </row>
    <row r="81" spans="2:29" ht="19.7" customHeight="1" x14ac:dyDescent="0.2">
      <c r="B81" s="18" t="s">
        <v>632</v>
      </c>
      <c r="C81" s="19" t="s">
        <v>837</v>
      </c>
      <c r="D81" s="19" t="s">
        <v>962</v>
      </c>
      <c r="E81" s="20" t="s">
        <v>720</v>
      </c>
      <c r="F81" s="55">
        <f t="shared" si="2"/>
        <v>1500</v>
      </c>
      <c r="G81" s="55">
        <f>기계경비!AA403</f>
        <v>0</v>
      </c>
      <c r="H81" s="55">
        <f>기계경비!AB403</f>
        <v>0</v>
      </c>
      <c r="I81" s="65">
        <f>기계경비!AC403</f>
        <v>1500</v>
      </c>
      <c r="Z81" s="17">
        <v>1500</v>
      </c>
      <c r="AC81" s="17">
        <v>1500</v>
      </c>
    </row>
    <row r="82" spans="2:29" ht="19.7" customHeight="1" x14ac:dyDescent="0.2">
      <c r="B82" s="23" t="s">
        <v>242</v>
      </c>
      <c r="C82" s="24" t="s">
        <v>399</v>
      </c>
      <c r="D82" s="24" t="s">
        <v>962</v>
      </c>
      <c r="E82" s="25" t="s">
        <v>720</v>
      </c>
      <c r="F82" s="64">
        <f t="shared" si="2"/>
        <v>42</v>
      </c>
      <c r="G82" s="64">
        <f>기계경비!AA406</f>
        <v>0</v>
      </c>
      <c r="H82" s="64">
        <f>기계경비!AB406</f>
        <v>0</v>
      </c>
      <c r="I82" s="66">
        <f>기계경비!AC406</f>
        <v>42</v>
      </c>
      <c r="Z82" s="17">
        <v>42</v>
      </c>
      <c r="AC82" s="17">
        <v>42</v>
      </c>
    </row>
    <row r="83" spans="2:29" x14ac:dyDescent="0.2">
      <c r="B83" s="13"/>
      <c r="C83" s="13"/>
      <c r="D83" s="13"/>
      <c r="E83" s="13"/>
      <c r="F83" s="13"/>
      <c r="G83" s="13"/>
      <c r="H83" s="13"/>
      <c r="I83" s="13"/>
    </row>
  </sheetData>
  <mergeCells count="1">
    <mergeCell ref="B1:I2"/>
  </mergeCells>
  <phoneticPr fontId="5" type="noConversion"/>
  <pageMargins left="0.98425196850393704" right="7.874015748031496E-2" top="0.6692913385826772" bottom="0.59055118110236215" header="0.5" footer="0.5"/>
  <pageSetup paperSize="9" scale="80" orientation="landscape" copies="0"/>
  <headerFooter alignWithMargins="0"/>
  <rowBreaks count="2" manualBreakCount="2">
    <brk id="32" min="2" max="9" man="1"/>
    <brk id="60" min="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04753-0B87-4EFF-8842-AFE18C2DC909}">
  <sheetPr>
    <tabColor rgb="FFFF0000"/>
  </sheetPr>
  <dimension ref="B1:AD408"/>
  <sheetViews>
    <sheetView workbookViewId="0">
      <pane ySplit="3" topLeftCell="A4" activePane="bottomLeft" state="frozen"/>
      <selection activeCell="AA21" sqref="AA21:AB21"/>
      <selection pane="bottomLeft" activeCell="AA21" sqref="AA21:AB21"/>
    </sheetView>
  </sheetViews>
  <sheetFormatPr defaultRowHeight="12.75" x14ac:dyDescent="0.2"/>
  <cols>
    <col min="1" max="1" width="0.7109375" customWidth="1"/>
    <col min="2" max="2" width="32.42578125" customWidth="1"/>
    <col min="3" max="3" width="26.5703125" customWidth="1"/>
    <col min="4" max="25" width="2.140625" customWidth="1"/>
    <col min="26" max="26" width="11.85546875" customWidth="1"/>
    <col min="27" max="29" width="11.140625" customWidth="1"/>
    <col min="30" max="30" width="13" customWidth="1"/>
  </cols>
  <sheetData>
    <row r="1" spans="2:30" ht="24.95" customHeight="1" x14ac:dyDescent="0.2">
      <c r="B1" s="84" t="s">
        <v>139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</row>
    <row r="2" spans="2:30" ht="9.9499999999999993" customHeight="1" x14ac:dyDescent="0.2"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</row>
    <row r="3" spans="2:30" ht="30.75" customHeight="1" x14ac:dyDescent="0.2">
      <c r="B3" s="14" t="s">
        <v>664</v>
      </c>
      <c r="C3" s="7" t="s">
        <v>754</v>
      </c>
      <c r="D3" s="94" t="s">
        <v>940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6" t="s">
        <v>925</v>
      </c>
      <c r="AA3" s="7" t="s">
        <v>815</v>
      </c>
      <c r="AB3" s="7" t="s">
        <v>594</v>
      </c>
      <c r="AC3" s="7" t="s">
        <v>70</v>
      </c>
      <c r="AD3" s="8" t="s">
        <v>11</v>
      </c>
    </row>
    <row r="4" spans="2:30" ht="19.7" customHeight="1" x14ac:dyDescent="0.2">
      <c r="B4" s="51" t="s">
        <v>565</v>
      </c>
      <c r="C4" s="52" t="s">
        <v>743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4">
        <f>AA4+AB4+AC4</f>
        <v>159988</v>
      </c>
      <c r="AA4" s="55">
        <f>TRUNC(AA5+AA6+AA7+AA8)</f>
        <v>55699</v>
      </c>
      <c r="AB4" s="55">
        <f>TRUNC(AB5+AB6+AB7+AB8)</f>
        <v>59306</v>
      </c>
      <c r="AC4" s="55">
        <f>TRUNC(AC5+AC6+AC7+AC8)</f>
        <v>44983</v>
      </c>
      <c r="AD4" s="56"/>
    </row>
    <row r="5" spans="2:30" ht="19.7" customHeight="1" x14ac:dyDescent="0.2">
      <c r="B5" s="57" t="s">
        <v>44</v>
      </c>
      <c r="C5" s="19" t="s">
        <v>743</v>
      </c>
      <c r="D5" s="88">
        <v>248388000</v>
      </c>
      <c r="E5" s="88"/>
      <c r="F5" s="88"/>
      <c r="G5" s="88"/>
      <c r="H5" s="88"/>
      <c r="I5" s="88" t="s">
        <v>195</v>
      </c>
      <c r="J5" s="88"/>
      <c r="K5" s="88">
        <v>1811</v>
      </c>
      <c r="L5" s="88"/>
      <c r="M5" s="88"/>
      <c r="N5" s="53" t="s">
        <v>812</v>
      </c>
      <c r="O5" s="88" t="s">
        <v>863</v>
      </c>
      <c r="P5" s="88"/>
      <c r="Q5" s="88"/>
      <c r="R5" s="53"/>
      <c r="S5" s="53"/>
      <c r="T5" s="53"/>
      <c r="U5" s="53"/>
      <c r="V5" s="53"/>
      <c r="W5" s="53"/>
      <c r="X5" s="53"/>
      <c r="Y5" s="53"/>
      <c r="Z5" s="54">
        <f>AA5+AB5+AC5</f>
        <v>44983</v>
      </c>
      <c r="AA5" s="58"/>
      <c r="AB5" s="58"/>
      <c r="AC5" s="58">
        <f>TRUNC(D5*K5*0.0000001,1)</f>
        <v>44983</v>
      </c>
      <c r="AD5" s="22" t="s">
        <v>936</v>
      </c>
    </row>
    <row r="6" spans="2:30" ht="19.7" customHeight="1" x14ac:dyDescent="0.2">
      <c r="B6" s="57" t="s">
        <v>160</v>
      </c>
      <c r="C6" s="19" t="s">
        <v>962</v>
      </c>
      <c r="D6" s="90">
        <v>41.6</v>
      </c>
      <c r="E6" s="88"/>
      <c r="F6" s="88"/>
      <c r="G6" s="88"/>
      <c r="H6" s="53" t="s">
        <v>769</v>
      </c>
      <c r="I6" s="53" t="s">
        <v>812</v>
      </c>
      <c r="J6" s="88">
        <f>자재단가!R27</f>
        <v>1229</v>
      </c>
      <c r="K6" s="88"/>
      <c r="L6" s="88"/>
      <c r="M6" s="88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4">
        <f>AA6+AB6+AC6</f>
        <v>51126.400000000001</v>
      </c>
      <c r="AA6" s="58"/>
      <c r="AB6" s="58">
        <f>TRUNC(D6*J6,1)</f>
        <v>51126.400000000001</v>
      </c>
      <c r="AC6" s="58"/>
      <c r="AD6" s="22" t="s">
        <v>962</v>
      </c>
    </row>
    <row r="7" spans="2:30" ht="19.7" customHeight="1" x14ac:dyDescent="0.2">
      <c r="B7" s="57" t="s">
        <v>85</v>
      </c>
      <c r="C7" s="19" t="s">
        <v>557</v>
      </c>
      <c r="D7" s="90">
        <v>16</v>
      </c>
      <c r="E7" s="88"/>
      <c r="F7" s="88"/>
      <c r="G7" s="88"/>
      <c r="H7" s="53" t="s">
        <v>210</v>
      </c>
      <c r="I7" s="53" t="s">
        <v>812</v>
      </c>
      <c r="J7" s="88">
        <f>AB6</f>
        <v>51126.400000000001</v>
      </c>
      <c r="K7" s="88"/>
      <c r="L7" s="88"/>
      <c r="M7" s="88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4">
        <f>AA7+AB7+AC7</f>
        <v>8180.2</v>
      </c>
      <c r="AA7" s="58"/>
      <c r="AB7" s="58">
        <f>TRUNC(D7/100*J7,1)</f>
        <v>8180.2</v>
      </c>
      <c r="AC7" s="58"/>
      <c r="AD7" s="22" t="s">
        <v>962</v>
      </c>
    </row>
    <row r="8" spans="2:30" ht="19.7" customHeight="1" x14ac:dyDescent="0.2">
      <c r="B8" s="57" t="s">
        <v>237</v>
      </c>
      <c r="C8" s="19" t="s">
        <v>962</v>
      </c>
      <c r="D8" s="92">
        <v>1</v>
      </c>
      <c r="E8" s="88"/>
      <c r="F8" s="88"/>
      <c r="G8" s="53" t="s">
        <v>889</v>
      </c>
      <c r="H8" s="53" t="s">
        <v>812</v>
      </c>
      <c r="I8" s="88">
        <f>노임단가!F23</f>
        <v>267360</v>
      </c>
      <c r="J8" s="88"/>
      <c r="K8" s="88"/>
      <c r="L8" s="88"/>
      <c r="M8" s="53" t="s">
        <v>812</v>
      </c>
      <c r="N8" s="88" t="s">
        <v>683</v>
      </c>
      <c r="O8" s="88"/>
      <c r="P8" s="88"/>
      <c r="Q8" s="88"/>
      <c r="R8" s="88"/>
      <c r="S8" s="88"/>
      <c r="T8" s="88"/>
      <c r="U8" s="88"/>
      <c r="V8" s="88"/>
      <c r="W8" s="53"/>
      <c r="X8" s="53"/>
      <c r="Y8" s="53"/>
      <c r="Z8" s="54">
        <f>AA8+AB8+AC8</f>
        <v>55699.9</v>
      </c>
      <c r="AA8" s="58">
        <f>TRUNC(D8*I8*기계경비적용기준!E21,1)</f>
        <v>55699.9</v>
      </c>
      <c r="AB8" s="58"/>
      <c r="AC8" s="58"/>
      <c r="AD8" s="22" t="s">
        <v>962</v>
      </c>
    </row>
    <row r="9" spans="2:30" ht="19.7" customHeight="1" x14ac:dyDescent="0.2">
      <c r="B9" s="57" t="s">
        <v>962</v>
      </c>
      <c r="C9" s="19" t="s">
        <v>962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27"/>
      <c r="AA9" s="21"/>
      <c r="AB9" s="21"/>
      <c r="AC9" s="21"/>
      <c r="AD9" s="22" t="s">
        <v>962</v>
      </c>
    </row>
    <row r="10" spans="2:30" ht="19.7" customHeight="1" x14ac:dyDescent="0.2">
      <c r="B10" s="51" t="s">
        <v>400</v>
      </c>
      <c r="C10" s="52" t="s">
        <v>245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4">
        <f>AA10+AB10+AC10</f>
        <v>76175</v>
      </c>
      <c r="AA10" s="55">
        <f>TRUNC(AA11+AA12+AA13+AA14)</f>
        <v>55699</v>
      </c>
      <c r="AB10" s="55">
        <f>TRUNC(AB11+AB12+AB13+AB14)</f>
        <v>7435</v>
      </c>
      <c r="AC10" s="55">
        <f>TRUNC(AC11+AC12+AC13+AC14)</f>
        <v>13041</v>
      </c>
      <c r="AD10" s="56"/>
    </row>
    <row r="11" spans="2:30" ht="19.7" customHeight="1" x14ac:dyDescent="0.2">
      <c r="B11" s="57" t="s">
        <v>72</v>
      </c>
      <c r="C11" s="19" t="s">
        <v>245</v>
      </c>
      <c r="D11" s="88">
        <v>62550000</v>
      </c>
      <c r="E11" s="88"/>
      <c r="F11" s="88"/>
      <c r="G11" s="88"/>
      <c r="H11" s="88"/>
      <c r="I11" s="88" t="s">
        <v>195</v>
      </c>
      <c r="J11" s="88"/>
      <c r="K11" s="88">
        <v>2085</v>
      </c>
      <c r="L11" s="88"/>
      <c r="M11" s="88"/>
      <c r="N11" s="53" t="s">
        <v>812</v>
      </c>
      <c r="O11" s="88" t="s">
        <v>863</v>
      </c>
      <c r="P11" s="88"/>
      <c r="Q11" s="88"/>
      <c r="R11" s="53"/>
      <c r="S11" s="53"/>
      <c r="T11" s="53"/>
      <c r="U11" s="53"/>
      <c r="V11" s="53"/>
      <c r="W11" s="53"/>
      <c r="X11" s="53"/>
      <c r="Y11" s="53"/>
      <c r="Z11" s="54">
        <f>AA11+AB11+AC11</f>
        <v>13041.6</v>
      </c>
      <c r="AA11" s="58"/>
      <c r="AB11" s="58"/>
      <c r="AC11" s="58">
        <f>TRUNC(D11*K11*0.0000001,1)</f>
        <v>13041.6</v>
      </c>
      <c r="AD11" s="22" t="s">
        <v>936</v>
      </c>
    </row>
    <row r="12" spans="2:30" ht="19.7" customHeight="1" x14ac:dyDescent="0.2">
      <c r="B12" s="57" t="s">
        <v>160</v>
      </c>
      <c r="C12" s="19" t="s">
        <v>962</v>
      </c>
      <c r="D12" s="90">
        <v>5</v>
      </c>
      <c r="E12" s="88"/>
      <c r="F12" s="88"/>
      <c r="G12" s="88"/>
      <c r="H12" s="53" t="s">
        <v>769</v>
      </c>
      <c r="I12" s="53" t="s">
        <v>812</v>
      </c>
      <c r="J12" s="88">
        <f>자재단가!R27</f>
        <v>1229</v>
      </c>
      <c r="K12" s="88"/>
      <c r="L12" s="88"/>
      <c r="M12" s="88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4">
        <f>AA12+AB12+AC12</f>
        <v>6145</v>
      </c>
      <c r="AA12" s="58"/>
      <c r="AB12" s="58">
        <f>TRUNC(D12*J12,1)</f>
        <v>6145</v>
      </c>
      <c r="AC12" s="58"/>
      <c r="AD12" s="22" t="s">
        <v>962</v>
      </c>
    </row>
    <row r="13" spans="2:30" ht="19.7" customHeight="1" x14ac:dyDescent="0.2">
      <c r="B13" s="57" t="s">
        <v>85</v>
      </c>
      <c r="C13" s="19" t="s">
        <v>557</v>
      </c>
      <c r="D13" s="90">
        <v>21</v>
      </c>
      <c r="E13" s="88"/>
      <c r="F13" s="88"/>
      <c r="G13" s="88"/>
      <c r="H13" s="53" t="s">
        <v>210</v>
      </c>
      <c r="I13" s="53" t="s">
        <v>812</v>
      </c>
      <c r="J13" s="88">
        <f>AB12</f>
        <v>6145</v>
      </c>
      <c r="K13" s="88"/>
      <c r="L13" s="88"/>
      <c r="M13" s="88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4">
        <f>AA13+AB13+AC13</f>
        <v>1290.4000000000001</v>
      </c>
      <c r="AA13" s="58"/>
      <c r="AB13" s="58">
        <f>TRUNC(D13/100*J13,1)</f>
        <v>1290.4000000000001</v>
      </c>
      <c r="AC13" s="58"/>
      <c r="AD13" s="22" t="s">
        <v>962</v>
      </c>
    </row>
    <row r="14" spans="2:30" ht="19.7" customHeight="1" x14ac:dyDescent="0.2">
      <c r="B14" s="57" t="s">
        <v>237</v>
      </c>
      <c r="C14" s="19" t="s">
        <v>962</v>
      </c>
      <c r="D14" s="92">
        <v>1</v>
      </c>
      <c r="E14" s="88"/>
      <c r="F14" s="88"/>
      <c r="G14" s="53" t="s">
        <v>889</v>
      </c>
      <c r="H14" s="53" t="s">
        <v>812</v>
      </c>
      <c r="I14" s="88">
        <f>노임단가!F23</f>
        <v>267360</v>
      </c>
      <c r="J14" s="88"/>
      <c r="K14" s="88"/>
      <c r="L14" s="88"/>
      <c r="M14" s="53" t="s">
        <v>812</v>
      </c>
      <c r="N14" s="88" t="s">
        <v>683</v>
      </c>
      <c r="O14" s="88"/>
      <c r="P14" s="88"/>
      <c r="Q14" s="88"/>
      <c r="R14" s="88"/>
      <c r="S14" s="88"/>
      <c r="T14" s="88"/>
      <c r="U14" s="88"/>
      <c r="V14" s="88"/>
      <c r="W14" s="53"/>
      <c r="X14" s="53"/>
      <c r="Y14" s="53"/>
      <c r="Z14" s="54">
        <f>AA14+AB14+AC14</f>
        <v>55699.9</v>
      </c>
      <c r="AA14" s="58">
        <f>TRUNC(D14*I14*기계경비적용기준!E21,1)</f>
        <v>55699.9</v>
      </c>
      <c r="AB14" s="58"/>
      <c r="AC14" s="58"/>
      <c r="AD14" s="22" t="s">
        <v>962</v>
      </c>
    </row>
    <row r="15" spans="2:30" ht="19.7" customHeight="1" x14ac:dyDescent="0.2">
      <c r="B15" s="57" t="s">
        <v>962</v>
      </c>
      <c r="C15" s="19" t="s">
        <v>962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27"/>
      <c r="AA15" s="21"/>
      <c r="AB15" s="21"/>
      <c r="AC15" s="21"/>
      <c r="AD15" s="22" t="s">
        <v>962</v>
      </c>
    </row>
    <row r="16" spans="2:30" ht="19.7" customHeight="1" x14ac:dyDescent="0.2">
      <c r="B16" s="51" t="s">
        <v>960</v>
      </c>
      <c r="C16" s="52" t="s">
        <v>845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4">
        <f>AA16+AB16+AC16</f>
        <v>86920</v>
      </c>
      <c r="AA16" s="55">
        <f>TRUNC(AA17+AA18+AA19+AA20)</f>
        <v>55699</v>
      </c>
      <c r="AB16" s="55">
        <f>TRUNC(AB17+AB18+AB19+AB20)</f>
        <v>14843</v>
      </c>
      <c r="AC16" s="55">
        <f>TRUNC(AC17+AC18+AC19+AC20)</f>
        <v>16378</v>
      </c>
      <c r="AD16" s="56"/>
    </row>
    <row r="17" spans="2:30" ht="19.7" customHeight="1" x14ac:dyDescent="0.2">
      <c r="B17" s="57" t="s">
        <v>72</v>
      </c>
      <c r="C17" s="19" t="s">
        <v>845</v>
      </c>
      <c r="D17" s="88">
        <v>78556000</v>
      </c>
      <c r="E17" s="88"/>
      <c r="F17" s="88"/>
      <c r="G17" s="88"/>
      <c r="H17" s="88"/>
      <c r="I17" s="88" t="s">
        <v>195</v>
      </c>
      <c r="J17" s="88"/>
      <c r="K17" s="88">
        <v>2085</v>
      </c>
      <c r="L17" s="88"/>
      <c r="M17" s="88"/>
      <c r="N17" s="53" t="s">
        <v>812</v>
      </c>
      <c r="O17" s="88" t="s">
        <v>863</v>
      </c>
      <c r="P17" s="88"/>
      <c r="Q17" s="88"/>
      <c r="R17" s="53"/>
      <c r="S17" s="53"/>
      <c r="T17" s="53"/>
      <c r="U17" s="53"/>
      <c r="V17" s="53"/>
      <c r="W17" s="53"/>
      <c r="X17" s="53"/>
      <c r="Y17" s="53"/>
      <c r="Z17" s="54">
        <f>AA17+AB17+AC17</f>
        <v>16378.9</v>
      </c>
      <c r="AA17" s="58"/>
      <c r="AB17" s="58"/>
      <c r="AC17" s="58">
        <f>TRUNC(D17*K17*0.0000001,1)</f>
        <v>16378.9</v>
      </c>
      <c r="AD17" s="22" t="s">
        <v>936</v>
      </c>
    </row>
    <row r="18" spans="2:30" ht="19.7" customHeight="1" x14ac:dyDescent="0.2">
      <c r="B18" s="57" t="s">
        <v>160</v>
      </c>
      <c r="C18" s="19" t="s">
        <v>962</v>
      </c>
      <c r="D18" s="90">
        <v>9.9</v>
      </c>
      <c r="E18" s="88"/>
      <c r="F18" s="88"/>
      <c r="G18" s="88"/>
      <c r="H18" s="53" t="s">
        <v>769</v>
      </c>
      <c r="I18" s="53" t="s">
        <v>812</v>
      </c>
      <c r="J18" s="88">
        <f>자재단가!R27</f>
        <v>1229</v>
      </c>
      <c r="K18" s="88"/>
      <c r="L18" s="88"/>
      <c r="M18" s="88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4">
        <f>AA18+AB18+AC18</f>
        <v>12167.1</v>
      </c>
      <c r="AA18" s="58"/>
      <c r="AB18" s="58">
        <f>TRUNC(D18*J18,1)</f>
        <v>12167.1</v>
      </c>
      <c r="AC18" s="58"/>
      <c r="AD18" s="22" t="s">
        <v>962</v>
      </c>
    </row>
    <row r="19" spans="2:30" ht="19.7" customHeight="1" x14ac:dyDescent="0.2">
      <c r="B19" s="57" t="s">
        <v>85</v>
      </c>
      <c r="C19" s="19" t="s">
        <v>557</v>
      </c>
      <c r="D19" s="90">
        <v>22</v>
      </c>
      <c r="E19" s="88"/>
      <c r="F19" s="88"/>
      <c r="G19" s="88"/>
      <c r="H19" s="53" t="s">
        <v>210</v>
      </c>
      <c r="I19" s="53" t="s">
        <v>812</v>
      </c>
      <c r="J19" s="88">
        <f>AB18</f>
        <v>12167.1</v>
      </c>
      <c r="K19" s="88"/>
      <c r="L19" s="88"/>
      <c r="M19" s="88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4">
        <f>AA19+AB19+AC19</f>
        <v>2676.7</v>
      </c>
      <c r="AA19" s="58"/>
      <c r="AB19" s="58">
        <f>TRUNC(D19/100*J19,1)</f>
        <v>2676.7</v>
      </c>
      <c r="AC19" s="58"/>
      <c r="AD19" s="22" t="s">
        <v>962</v>
      </c>
    </row>
    <row r="20" spans="2:30" ht="19.7" customHeight="1" x14ac:dyDescent="0.2">
      <c r="B20" s="57" t="s">
        <v>237</v>
      </c>
      <c r="C20" s="19" t="s">
        <v>962</v>
      </c>
      <c r="D20" s="92">
        <v>1</v>
      </c>
      <c r="E20" s="88"/>
      <c r="F20" s="88"/>
      <c r="G20" s="53" t="s">
        <v>889</v>
      </c>
      <c r="H20" s="53" t="s">
        <v>812</v>
      </c>
      <c r="I20" s="88">
        <f>노임단가!F23</f>
        <v>267360</v>
      </c>
      <c r="J20" s="88"/>
      <c r="K20" s="88"/>
      <c r="L20" s="88"/>
      <c r="M20" s="53" t="s">
        <v>812</v>
      </c>
      <c r="N20" s="88" t="s">
        <v>683</v>
      </c>
      <c r="O20" s="88"/>
      <c r="P20" s="88"/>
      <c r="Q20" s="88"/>
      <c r="R20" s="88"/>
      <c r="S20" s="88"/>
      <c r="T20" s="88"/>
      <c r="U20" s="88"/>
      <c r="V20" s="88"/>
      <c r="W20" s="53"/>
      <c r="X20" s="53"/>
      <c r="Y20" s="53"/>
      <c r="Z20" s="54">
        <f>AA20+AB20+AC20</f>
        <v>55699.9</v>
      </c>
      <c r="AA20" s="58">
        <f>TRUNC(D20*I20*기계경비적용기준!E21,1)</f>
        <v>55699.9</v>
      </c>
      <c r="AB20" s="58"/>
      <c r="AC20" s="58"/>
      <c r="AD20" s="22" t="s">
        <v>962</v>
      </c>
    </row>
    <row r="21" spans="2:30" ht="19.7" customHeight="1" x14ac:dyDescent="0.2">
      <c r="B21" s="57" t="s">
        <v>962</v>
      </c>
      <c r="C21" s="19" t="s">
        <v>962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27"/>
      <c r="AA21" s="21"/>
      <c r="AB21" s="21"/>
      <c r="AC21" s="21"/>
      <c r="AD21" s="22" t="s">
        <v>962</v>
      </c>
    </row>
    <row r="22" spans="2:30" ht="19.7" customHeight="1" x14ac:dyDescent="0.2">
      <c r="B22" s="51" t="s">
        <v>814</v>
      </c>
      <c r="C22" s="52" t="s">
        <v>411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4">
        <f>AA22+AB22+AC22</f>
        <v>92949</v>
      </c>
      <c r="AA22" s="55">
        <f>TRUNC(AA23+AA24+AA25+AA26)</f>
        <v>55699</v>
      </c>
      <c r="AB22" s="55">
        <f>TRUNC(AB23+AB24+AB25+AB26)</f>
        <v>15293</v>
      </c>
      <c r="AC22" s="55">
        <f>TRUNC(AC23+AC24+AC25+AC26)</f>
        <v>21957</v>
      </c>
      <c r="AD22" s="56"/>
    </row>
    <row r="23" spans="2:30" ht="19.7" customHeight="1" x14ac:dyDescent="0.2">
      <c r="B23" s="57" t="s">
        <v>72</v>
      </c>
      <c r="C23" s="19" t="s">
        <v>411</v>
      </c>
      <c r="D23" s="88">
        <v>105310000</v>
      </c>
      <c r="E23" s="88"/>
      <c r="F23" s="88"/>
      <c r="G23" s="88"/>
      <c r="H23" s="88"/>
      <c r="I23" s="88" t="s">
        <v>195</v>
      </c>
      <c r="J23" s="88"/>
      <c r="K23" s="88">
        <v>2085</v>
      </c>
      <c r="L23" s="88"/>
      <c r="M23" s="88"/>
      <c r="N23" s="53" t="s">
        <v>812</v>
      </c>
      <c r="O23" s="88" t="s">
        <v>863</v>
      </c>
      <c r="P23" s="88"/>
      <c r="Q23" s="88"/>
      <c r="R23" s="53"/>
      <c r="S23" s="53"/>
      <c r="T23" s="53"/>
      <c r="U23" s="53"/>
      <c r="V23" s="53"/>
      <c r="W23" s="53"/>
      <c r="X23" s="53"/>
      <c r="Y23" s="53"/>
      <c r="Z23" s="54">
        <f>AA23+AB23+AC23</f>
        <v>21957.1</v>
      </c>
      <c r="AA23" s="58"/>
      <c r="AB23" s="58"/>
      <c r="AC23" s="58">
        <f>TRUNC(D23*K23*0.0000001,1)</f>
        <v>21957.1</v>
      </c>
      <c r="AD23" s="22" t="s">
        <v>936</v>
      </c>
    </row>
    <row r="24" spans="2:30" ht="19.7" customHeight="1" x14ac:dyDescent="0.2">
      <c r="B24" s="57" t="s">
        <v>160</v>
      </c>
      <c r="C24" s="19" t="s">
        <v>962</v>
      </c>
      <c r="D24" s="90">
        <v>10.199999999999999</v>
      </c>
      <c r="E24" s="88"/>
      <c r="F24" s="88"/>
      <c r="G24" s="88"/>
      <c r="H24" s="53" t="s">
        <v>769</v>
      </c>
      <c r="I24" s="53" t="s">
        <v>812</v>
      </c>
      <c r="J24" s="88">
        <f>자재단가!R27</f>
        <v>1229</v>
      </c>
      <c r="K24" s="88"/>
      <c r="L24" s="88"/>
      <c r="M24" s="88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4">
        <f>AA24+AB24+AC24</f>
        <v>12535.8</v>
      </c>
      <c r="AA24" s="58"/>
      <c r="AB24" s="58">
        <f>TRUNC(D24*J24,1)</f>
        <v>12535.8</v>
      </c>
      <c r="AC24" s="58"/>
      <c r="AD24" s="22" t="s">
        <v>962</v>
      </c>
    </row>
    <row r="25" spans="2:30" ht="19.7" customHeight="1" x14ac:dyDescent="0.2">
      <c r="B25" s="57" t="s">
        <v>85</v>
      </c>
      <c r="C25" s="19" t="s">
        <v>557</v>
      </c>
      <c r="D25" s="90">
        <v>22</v>
      </c>
      <c r="E25" s="88"/>
      <c r="F25" s="88"/>
      <c r="G25" s="88"/>
      <c r="H25" s="53" t="s">
        <v>210</v>
      </c>
      <c r="I25" s="53" t="s">
        <v>812</v>
      </c>
      <c r="J25" s="88">
        <f>AB24</f>
        <v>12535.8</v>
      </c>
      <c r="K25" s="88"/>
      <c r="L25" s="88"/>
      <c r="M25" s="88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4">
        <f>AA25+AB25+AC25</f>
        <v>2757.8</v>
      </c>
      <c r="AA25" s="58"/>
      <c r="AB25" s="58">
        <f>TRUNC(D25/100*J25,1)</f>
        <v>2757.8</v>
      </c>
      <c r="AC25" s="58"/>
      <c r="AD25" s="22" t="s">
        <v>962</v>
      </c>
    </row>
    <row r="26" spans="2:30" ht="19.7" customHeight="1" x14ac:dyDescent="0.2">
      <c r="B26" s="57" t="s">
        <v>237</v>
      </c>
      <c r="C26" s="19" t="s">
        <v>962</v>
      </c>
      <c r="D26" s="92">
        <v>1</v>
      </c>
      <c r="E26" s="88"/>
      <c r="F26" s="88"/>
      <c r="G26" s="53" t="s">
        <v>889</v>
      </c>
      <c r="H26" s="53" t="s">
        <v>812</v>
      </c>
      <c r="I26" s="88">
        <f>노임단가!F23</f>
        <v>267360</v>
      </c>
      <c r="J26" s="88"/>
      <c r="K26" s="88"/>
      <c r="L26" s="88"/>
      <c r="M26" s="53" t="s">
        <v>812</v>
      </c>
      <c r="N26" s="88" t="s">
        <v>683</v>
      </c>
      <c r="O26" s="88"/>
      <c r="P26" s="88"/>
      <c r="Q26" s="88"/>
      <c r="R26" s="88"/>
      <c r="S26" s="88"/>
      <c r="T26" s="88"/>
      <c r="U26" s="88"/>
      <c r="V26" s="88"/>
      <c r="W26" s="53"/>
      <c r="X26" s="53"/>
      <c r="Y26" s="53"/>
      <c r="Z26" s="54">
        <f>AA26+AB26+AC26</f>
        <v>55699.9</v>
      </c>
      <c r="AA26" s="58">
        <f>TRUNC(D26*I26*기계경비적용기준!E21,1)</f>
        <v>55699.9</v>
      </c>
      <c r="AB26" s="58"/>
      <c r="AC26" s="58"/>
      <c r="AD26" s="22" t="s">
        <v>962</v>
      </c>
    </row>
    <row r="27" spans="2:30" ht="19.7" customHeight="1" x14ac:dyDescent="0.2">
      <c r="B27" s="57" t="s">
        <v>962</v>
      </c>
      <c r="C27" s="19" t="s">
        <v>962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27"/>
      <c r="AA27" s="21"/>
      <c r="AB27" s="21"/>
      <c r="AC27" s="21"/>
      <c r="AD27" s="22" t="s">
        <v>962</v>
      </c>
    </row>
    <row r="28" spans="2:30" ht="19.7" customHeight="1" x14ac:dyDescent="0.2">
      <c r="B28" s="51" t="s">
        <v>297</v>
      </c>
      <c r="C28" s="52" t="s">
        <v>63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4">
        <f>AA28+AB28+AC28</f>
        <v>96219</v>
      </c>
      <c r="AA28" s="55">
        <f>TRUNC(AA29+AA30+AA31+AA32)</f>
        <v>55699</v>
      </c>
      <c r="AB28" s="55">
        <f>TRUNC(AB29+AB30+AB31+AB32)</f>
        <v>17392</v>
      </c>
      <c r="AC28" s="55">
        <f>TRUNC(AC29+AC30+AC31+AC32)</f>
        <v>23128</v>
      </c>
      <c r="AD28" s="56"/>
    </row>
    <row r="29" spans="2:30" ht="19.7" customHeight="1" x14ac:dyDescent="0.2">
      <c r="B29" s="57" t="s">
        <v>72</v>
      </c>
      <c r="C29" s="19" t="s">
        <v>63</v>
      </c>
      <c r="D29" s="88">
        <v>110926000</v>
      </c>
      <c r="E29" s="88"/>
      <c r="F29" s="88"/>
      <c r="G29" s="88"/>
      <c r="H29" s="88"/>
      <c r="I29" s="88" t="s">
        <v>195</v>
      </c>
      <c r="J29" s="88"/>
      <c r="K29" s="88">
        <v>2085</v>
      </c>
      <c r="L29" s="88"/>
      <c r="M29" s="88"/>
      <c r="N29" s="53" t="s">
        <v>812</v>
      </c>
      <c r="O29" s="88" t="s">
        <v>863</v>
      </c>
      <c r="P29" s="88"/>
      <c r="Q29" s="88"/>
      <c r="R29" s="53"/>
      <c r="S29" s="53"/>
      <c r="T29" s="53"/>
      <c r="U29" s="53"/>
      <c r="V29" s="53"/>
      <c r="W29" s="53"/>
      <c r="X29" s="53"/>
      <c r="Y29" s="53"/>
      <c r="Z29" s="54">
        <f>AA29+AB29+AC29</f>
        <v>23128</v>
      </c>
      <c r="AA29" s="58"/>
      <c r="AB29" s="58"/>
      <c r="AC29" s="58">
        <f>TRUNC(D29*K29*0.0000001,1)</f>
        <v>23128</v>
      </c>
      <c r="AD29" s="22" t="s">
        <v>936</v>
      </c>
    </row>
    <row r="30" spans="2:30" ht="19.7" customHeight="1" x14ac:dyDescent="0.2">
      <c r="B30" s="57" t="s">
        <v>160</v>
      </c>
      <c r="C30" s="19" t="s">
        <v>962</v>
      </c>
      <c r="D30" s="90">
        <v>11.6</v>
      </c>
      <c r="E30" s="88"/>
      <c r="F30" s="88"/>
      <c r="G30" s="88"/>
      <c r="H30" s="53" t="s">
        <v>769</v>
      </c>
      <c r="I30" s="53" t="s">
        <v>812</v>
      </c>
      <c r="J30" s="88">
        <f>자재단가!R27</f>
        <v>1229</v>
      </c>
      <c r="K30" s="88"/>
      <c r="L30" s="88"/>
      <c r="M30" s="88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4">
        <f>AA30+AB30+AC30</f>
        <v>14256.4</v>
      </c>
      <c r="AA30" s="58"/>
      <c r="AB30" s="58">
        <f>TRUNC(D30*J30,1)</f>
        <v>14256.4</v>
      </c>
      <c r="AC30" s="58"/>
      <c r="AD30" s="22" t="s">
        <v>962</v>
      </c>
    </row>
    <row r="31" spans="2:30" ht="19.7" customHeight="1" x14ac:dyDescent="0.2">
      <c r="B31" s="57" t="s">
        <v>85</v>
      </c>
      <c r="C31" s="19" t="s">
        <v>557</v>
      </c>
      <c r="D31" s="90">
        <v>22</v>
      </c>
      <c r="E31" s="88"/>
      <c r="F31" s="88"/>
      <c r="G31" s="88"/>
      <c r="H31" s="53" t="s">
        <v>210</v>
      </c>
      <c r="I31" s="53" t="s">
        <v>812</v>
      </c>
      <c r="J31" s="88">
        <f>AB30</f>
        <v>14256.4</v>
      </c>
      <c r="K31" s="88"/>
      <c r="L31" s="88"/>
      <c r="M31" s="88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4">
        <f>AA31+AB31+AC31</f>
        <v>3136.4</v>
      </c>
      <c r="AA31" s="58"/>
      <c r="AB31" s="58">
        <f>TRUNC(D31/100*J31,1)</f>
        <v>3136.4</v>
      </c>
      <c r="AC31" s="58"/>
      <c r="AD31" s="22" t="s">
        <v>962</v>
      </c>
    </row>
    <row r="32" spans="2:30" ht="19.7" customHeight="1" x14ac:dyDescent="0.2">
      <c r="B32" s="59" t="s">
        <v>237</v>
      </c>
      <c r="C32" s="24" t="s">
        <v>962</v>
      </c>
      <c r="D32" s="93">
        <v>1</v>
      </c>
      <c r="E32" s="89"/>
      <c r="F32" s="89"/>
      <c r="G32" s="9" t="s">
        <v>889</v>
      </c>
      <c r="H32" s="9" t="s">
        <v>812</v>
      </c>
      <c r="I32" s="89">
        <f>노임단가!F23</f>
        <v>267360</v>
      </c>
      <c r="J32" s="89"/>
      <c r="K32" s="89"/>
      <c r="L32" s="89"/>
      <c r="M32" s="9" t="s">
        <v>812</v>
      </c>
      <c r="N32" s="89" t="s">
        <v>683</v>
      </c>
      <c r="O32" s="89"/>
      <c r="P32" s="89"/>
      <c r="Q32" s="89"/>
      <c r="R32" s="89"/>
      <c r="S32" s="89"/>
      <c r="T32" s="89"/>
      <c r="U32" s="89"/>
      <c r="V32" s="89"/>
      <c r="W32" s="9"/>
      <c r="X32" s="9"/>
      <c r="Y32" s="9"/>
      <c r="Z32" s="60">
        <f>AA32+AB32+AC32</f>
        <v>55699.9</v>
      </c>
      <c r="AA32" s="61">
        <f>TRUNC(D32*I32*기계경비적용기준!E21,1)</f>
        <v>55699.9</v>
      </c>
      <c r="AB32" s="61"/>
      <c r="AC32" s="61"/>
      <c r="AD32" s="26" t="s">
        <v>962</v>
      </c>
    </row>
    <row r="33" spans="2:30" ht="19.7" customHeight="1" x14ac:dyDescent="0.2">
      <c r="B33" s="57" t="s">
        <v>962</v>
      </c>
      <c r="C33" s="19" t="s">
        <v>962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27"/>
      <c r="AA33" s="21"/>
      <c r="AB33" s="21"/>
      <c r="AC33" s="21"/>
      <c r="AD33" s="22" t="s">
        <v>962</v>
      </c>
    </row>
    <row r="34" spans="2:30" ht="19.7" customHeight="1" x14ac:dyDescent="0.2">
      <c r="B34" s="51" t="s">
        <v>676</v>
      </c>
      <c r="C34" s="52" t="s">
        <v>345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4">
        <f>AA34+AB34+AC34</f>
        <v>104096</v>
      </c>
      <c r="AA34" s="55">
        <f>TRUNC(AA35+AA36+AA37+AA38)</f>
        <v>55699</v>
      </c>
      <c r="AB34" s="55">
        <f>TRUNC(AB35+AB36+AB37+AB38)</f>
        <v>22940</v>
      </c>
      <c r="AC34" s="55">
        <f>TRUNC(AC35+AC36+AC37+AC38)</f>
        <v>25457</v>
      </c>
      <c r="AD34" s="56"/>
    </row>
    <row r="35" spans="2:30" ht="19.7" customHeight="1" x14ac:dyDescent="0.2">
      <c r="B35" s="57" t="s">
        <v>72</v>
      </c>
      <c r="C35" s="19" t="s">
        <v>345</v>
      </c>
      <c r="D35" s="88">
        <v>122100000</v>
      </c>
      <c r="E35" s="88"/>
      <c r="F35" s="88"/>
      <c r="G35" s="88"/>
      <c r="H35" s="88"/>
      <c r="I35" s="88" t="s">
        <v>195</v>
      </c>
      <c r="J35" s="88"/>
      <c r="K35" s="88">
        <v>2085</v>
      </c>
      <c r="L35" s="88"/>
      <c r="M35" s="88"/>
      <c r="N35" s="53" t="s">
        <v>812</v>
      </c>
      <c r="O35" s="88" t="s">
        <v>863</v>
      </c>
      <c r="P35" s="88"/>
      <c r="Q35" s="88"/>
      <c r="R35" s="53"/>
      <c r="S35" s="53"/>
      <c r="T35" s="53"/>
      <c r="U35" s="53"/>
      <c r="V35" s="53"/>
      <c r="W35" s="53"/>
      <c r="X35" s="53"/>
      <c r="Y35" s="53"/>
      <c r="Z35" s="54">
        <f>AA35+AB35+AC35</f>
        <v>25457.8</v>
      </c>
      <c r="AA35" s="58"/>
      <c r="AB35" s="58"/>
      <c r="AC35" s="58">
        <f>TRUNC(D35*K35*0.0000001,1)</f>
        <v>25457.8</v>
      </c>
      <c r="AD35" s="22" t="s">
        <v>936</v>
      </c>
    </row>
    <row r="36" spans="2:30" ht="19.7" customHeight="1" x14ac:dyDescent="0.2">
      <c r="B36" s="57" t="s">
        <v>160</v>
      </c>
      <c r="C36" s="19" t="s">
        <v>962</v>
      </c>
      <c r="D36" s="90">
        <v>15.3</v>
      </c>
      <c r="E36" s="88"/>
      <c r="F36" s="88"/>
      <c r="G36" s="88"/>
      <c r="H36" s="53" t="s">
        <v>769</v>
      </c>
      <c r="I36" s="53" t="s">
        <v>812</v>
      </c>
      <c r="J36" s="88">
        <f>자재단가!R27</f>
        <v>1229</v>
      </c>
      <c r="K36" s="88"/>
      <c r="L36" s="88"/>
      <c r="M36" s="88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4">
        <f>AA36+AB36+AC36</f>
        <v>18803.7</v>
      </c>
      <c r="AA36" s="58"/>
      <c r="AB36" s="58">
        <f>TRUNC(D36*J36,1)</f>
        <v>18803.7</v>
      </c>
      <c r="AC36" s="58"/>
      <c r="AD36" s="22" t="s">
        <v>962</v>
      </c>
    </row>
    <row r="37" spans="2:30" ht="19.7" customHeight="1" x14ac:dyDescent="0.2">
      <c r="B37" s="57" t="s">
        <v>85</v>
      </c>
      <c r="C37" s="19" t="s">
        <v>557</v>
      </c>
      <c r="D37" s="90">
        <v>22</v>
      </c>
      <c r="E37" s="88"/>
      <c r="F37" s="88"/>
      <c r="G37" s="88"/>
      <c r="H37" s="53" t="s">
        <v>210</v>
      </c>
      <c r="I37" s="53" t="s">
        <v>812</v>
      </c>
      <c r="J37" s="88">
        <f>AB36</f>
        <v>18803.7</v>
      </c>
      <c r="K37" s="88"/>
      <c r="L37" s="88"/>
      <c r="M37" s="88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4">
        <f>AA37+AB37+AC37</f>
        <v>4136.8</v>
      </c>
      <c r="AA37" s="58"/>
      <c r="AB37" s="58">
        <f>TRUNC(D37/100*J37,1)</f>
        <v>4136.8</v>
      </c>
      <c r="AC37" s="58"/>
      <c r="AD37" s="22" t="s">
        <v>962</v>
      </c>
    </row>
    <row r="38" spans="2:30" ht="19.7" customHeight="1" x14ac:dyDescent="0.2">
      <c r="B38" s="57" t="s">
        <v>237</v>
      </c>
      <c r="C38" s="19" t="s">
        <v>962</v>
      </c>
      <c r="D38" s="92">
        <v>1</v>
      </c>
      <c r="E38" s="88"/>
      <c r="F38" s="88"/>
      <c r="G38" s="53" t="s">
        <v>889</v>
      </c>
      <c r="H38" s="53" t="s">
        <v>812</v>
      </c>
      <c r="I38" s="88">
        <f>노임단가!F23</f>
        <v>267360</v>
      </c>
      <c r="J38" s="88"/>
      <c r="K38" s="88"/>
      <c r="L38" s="88"/>
      <c r="M38" s="53" t="s">
        <v>812</v>
      </c>
      <c r="N38" s="88" t="s">
        <v>683</v>
      </c>
      <c r="O38" s="88"/>
      <c r="P38" s="88"/>
      <c r="Q38" s="88"/>
      <c r="R38" s="88"/>
      <c r="S38" s="88"/>
      <c r="T38" s="88"/>
      <c r="U38" s="88"/>
      <c r="V38" s="88"/>
      <c r="W38" s="53"/>
      <c r="X38" s="53"/>
      <c r="Y38" s="53"/>
      <c r="Z38" s="54">
        <f>AA38+AB38+AC38</f>
        <v>55699.9</v>
      </c>
      <c r="AA38" s="58">
        <f>TRUNC(D38*I38*기계경비적용기준!E21,1)</f>
        <v>55699.9</v>
      </c>
      <c r="AB38" s="58"/>
      <c r="AC38" s="58"/>
      <c r="AD38" s="22" t="s">
        <v>962</v>
      </c>
    </row>
    <row r="39" spans="2:30" ht="19.7" customHeight="1" x14ac:dyDescent="0.2">
      <c r="B39" s="57" t="s">
        <v>962</v>
      </c>
      <c r="C39" s="19" t="s">
        <v>962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27"/>
      <c r="AA39" s="21"/>
      <c r="AB39" s="21"/>
      <c r="AC39" s="21"/>
      <c r="AD39" s="22" t="s">
        <v>962</v>
      </c>
    </row>
    <row r="40" spans="2:30" ht="19.7" customHeight="1" x14ac:dyDescent="0.2">
      <c r="B40" s="51" t="s">
        <v>118</v>
      </c>
      <c r="C40" s="52" t="s">
        <v>154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4">
        <f>AA40+AB40+AC40</f>
        <v>112837</v>
      </c>
      <c r="AA40" s="55">
        <f>TRUNC(AA41+AA42+AA43+AA44)</f>
        <v>55699</v>
      </c>
      <c r="AB40" s="55">
        <f>TRUNC(AB41+AB42+AB43+AB44)</f>
        <v>29237</v>
      </c>
      <c r="AC40" s="55">
        <f>TRUNC(AC41+AC42+AC43+AC44)</f>
        <v>27901</v>
      </c>
      <c r="AD40" s="56"/>
    </row>
    <row r="41" spans="2:30" ht="19.7" customHeight="1" x14ac:dyDescent="0.2">
      <c r="B41" s="57" t="s">
        <v>72</v>
      </c>
      <c r="C41" s="19" t="s">
        <v>154</v>
      </c>
      <c r="D41" s="88">
        <v>133819000</v>
      </c>
      <c r="E41" s="88"/>
      <c r="F41" s="88"/>
      <c r="G41" s="88"/>
      <c r="H41" s="88"/>
      <c r="I41" s="88" t="s">
        <v>195</v>
      </c>
      <c r="J41" s="88"/>
      <c r="K41" s="88">
        <v>2085</v>
      </c>
      <c r="L41" s="88"/>
      <c r="M41" s="88"/>
      <c r="N41" s="53" t="s">
        <v>812</v>
      </c>
      <c r="O41" s="88" t="s">
        <v>863</v>
      </c>
      <c r="P41" s="88"/>
      <c r="Q41" s="88"/>
      <c r="R41" s="53"/>
      <c r="S41" s="53"/>
      <c r="T41" s="53"/>
      <c r="U41" s="53"/>
      <c r="V41" s="53"/>
      <c r="W41" s="53"/>
      <c r="X41" s="53"/>
      <c r="Y41" s="53"/>
      <c r="Z41" s="54">
        <f>AA41+AB41+AC41</f>
        <v>27901.200000000001</v>
      </c>
      <c r="AA41" s="58"/>
      <c r="AB41" s="58"/>
      <c r="AC41" s="58">
        <f>TRUNC(D41*K41*0.0000001,1)</f>
        <v>27901.200000000001</v>
      </c>
      <c r="AD41" s="22" t="s">
        <v>936</v>
      </c>
    </row>
    <row r="42" spans="2:30" ht="19.7" customHeight="1" x14ac:dyDescent="0.2">
      <c r="B42" s="57" t="s">
        <v>160</v>
      </c>
      <c r="C42" s="19" t="s">
        <v>962</v>
      </c>
      <c r="D42" s="90">
        <v>19.5</v>
      </c>
      <c r="E42" s="88"/>
      <c r="F42" s="88"/>
      <c r="G42" s="88"/>
      <c r="H42" s="53" t="s">
        <v>769</v>
      </c>
      <c r="I42" s="53" t="s">
        <v>812</v>
      </c>
      <c r="J42" s="88">
        <f>자재단가!R27</f>
        <v>1229</v>
      </c>
      <c r="K42" s="88"/>
      <c r="L42" s="88"/>
      <c r="M42" s="88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4">
        <f>AA42+AB42+AC42</f>
        <v>23965.5</v>
      </c>
      <c r="AA42" s="58"/>
      <c r="AB42" s="58">
        <f>TRUNC(D42*J42,1)</f>
        <v>23965.5</v>
      </c>
      <c r="AC42" s="58"/>
      <c r="AD42" s="22" t="s">
        <v>962</v>
      </c>
    </row>
    <row r="43" spans="2:30" ht="19.7" customHeight="1" x14ac:dyDescent="0.2">
      <c r="B43" s="57" t="s">
        <v>85</v>
      </c>
      <c r="C43" s="19" t="s">
        <v>557</v>
      </c>
      <c r="D43" s="90">
        <v>22</v>
      </c>
      <c r="E43" s="88"/>
      <c r="F43" s="88"/>
      <c r="G43" s="88"/>
      <c r="H43" s="53" t="s">
        <v>210</v>
      </c>
      <c r="I43" s="53" t="s">
        <v>812</v>
      </c>
      <c r="J43" s="88">
        <f>AB42</f>
        <v>23965.5</v>
      </c>
      <c r="K43" s="88"/>
      <c r="L43" s="88"/>
      <c r="M43" s="88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4">
        <f>AA43+AB43+AC43</f>
        <v>5272.4</v>
      </c>
      <c r="AA43" s="58"/>
      <c r="AB43" s="58">
        <f>TRUNC(D43/100*J43,1)</f>
        <v>5272.4</v>
      </c>
      <c r="AC43" s="58"/>
      <c r="AD43" s="22" t="s">
        <v>962</v>
      </c>
    </row>
    <row r="44" spans="2:30" ht="19.7" customHeight="1" x14ac:dyDescent="0.2">
      <c r="B44" s="57" t="s">
        <v>237</v>
      </c>
      <c r="C44" s="19" t="s">
        <v>962</v>
      </c>
      <c r="D44" s="92">
        <v>1</v>
      </c>
      <c r="E44" s="88"/>
      <c r="F44" s="88"/>
      <c r="G44" s="53" t="s">
        <v>889</v>
      </c>
      <c r="H44" s="53" t="s">
        <v>812</v>
      </c>
      <c r="I44" s="88">
        <f>노임단가!F23</f>
        <v>267360</v>
      </c>
      <c r="J44" s="88"/>
      <c r="K44" s="88"/>
      <c r="L44" s="88"/>
      <c r="M44" s="53" t="s">
        <v>812</v>
      </c>
      <c r="N44" s="88" t="s">
        <v>683</v>
      </c>
      <c r="O44" s="88"/>
      <c r="P44" s="88"/>
      <c r="Q44" s="88"/>
      <c r="R44" s="88"/>
      <c r="S44" s="88"/>
      <c r="T44" s="88"/>
      <c r="U44" s="88"/>
      <c r="V44" s="88"/>
      <c r="W44" s="53"/>
      <c r="X44" s="53"/>
      <c r="Y44" s="53"/>
      <c r="Z44" s="54">
        <f>AA44+AB44+AC44</f>
        <v>55699.9</v>
      </c>
      <c r="AA44" s="58">
        <f>TRUNC(D44*I44*기계경비적용기준!E21,1)</f>
        <v>55699.9</v>
      </c>
      <c r="AB44" s="58"/>
      <c r="AC44" s="58"/>
      <c r="AD44" s="22" t="s">
        <v>962</v>
      </c>
    </row>
    <row r="45" spans="2:30" ht="19.7" customHeight="1" x14ac:dyDescent="0.2">
      <c r="B45" s="57" t="s">
        <v>962</v>
      </c>
      <c r="C45" s="19" t="s">
        <v>962</v>
      </c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27"/>
      <c r="AA45" s="21"/>
      <c r="AB45" s="21"/>
      <c r="AC45" s="21"/>
      <c r="AD45" s="22" t="s">
        <v>962</v>
      </c>
    </row>
    <row r="46" spans="2:30" ht="19.7" customHeight="1" x14ac:dyDescent="0.2">
      <c r="B46" s="51" t="s">
        <v>261</v>
      </c>
      <c r="C46" s="52" t="s">
        <v>254</v>
      </c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4">
        <f t="shared" ref="Z46:Z51" si="0">AA46+AB46+AC46</f>
        <v>101026</v>
      </c>
      <c r="AA46" s="55">
        <f>TRUNC(AA47+AA48+AA49+AA50+AA51)</f>
        <v>55699</v>
      </c>
      <c r="AB46" s="55">
        <f>TRUNC(AB47+AB48+AB49+AB50+AB51)</f>
        <v>14541</v>
      </c>
      <c r="AC46" s="55">
        <f>TRUNC(AC47+AC48+AC49+AC50+AC51)</f>
        <v>30786</v>
      </c>
      <c r="AD46" s="56"/>
    </row>
    <row r="47" spans="2:30" ht="19.7" customHeight="1" x14ac:dyDescent="0.2">
      <c r="B47" s="57" t="s">
        <v>827</v>
      </c>
      <c r="C47" s="19" t="s">
        <v>254</v>
      </c>
      <c r="D47" s="88">
        <v>105310000</v>
      </c>
      <c r="E47" s="88"/>
      <c r="F47" s="88"/>
      <c r="G47" s="88"/>
      <c r="H47" s="88"/>
      <c r="I47" s="88" t="s">
        <v>195</v>
      </c>
      <c r="J47" s="88"/>
      <c r="K47" s="88">
        <v>2085</v>
      </c>
      <c r="L47" s="88"/>
      <c r="M47" s="88"/>
      <c r="N47" s="53" t="s">
        <v>812</v>
      </c>
      <c r="O47" s="88" t="s">
        <v>863</v>
      </c>
      <c r="P47" s="88"/>
      <c r="Q47" s="88"/>
      <c r="R47" s="53"/>
      <c r="S47" s="53"/>
      <c r="T47" s="53"/>
      <c r="U47" s="53"/>
      <c r="V47" s="53"/>
      <c r="W47" s="53"/>
      <c r="X47" s="53"/>
      <c r="Y47" s="53"/>
      <c r="Z47" s="54">
        <f t="shared" si="0"/>
        <v>21957.1</v>
      </c>
      <c r="AA47" s="58"/>
      <c r="AB47" s="58"/>
      <c r="AC47" s="58">
        <f>TRUNC(D47*K47*0.0000001,1)</f>
        <v>21957.1</v>
      </c>
      <c r="AD47" s="22" t="s">
        <v>936</v>
      </c>
    </row>
    <row r="48" spans="2:30" ht="19.7" customHeight="1" x14ac:dyDescent="0.2">
      <c r="B48" s="57" t="s">
        <v>158</v>
      </c>
      <c r="C48" s="19" t="s">
        <v>254</v>
      </c>
      <c r="D48" s="88">
        <v>13376000</v>
      </c>
      <c r="E48" s="88"/>
      <c r="F48" s="88"/>
      <c r="G48" s="88"/>
      <c r="H48" s="88"/>
      <c r="I48" s="88" t="s">
        <v>195</v>
      </c>
      <c r="J48" s="88"/>
      <c r="K48" s="88">
        <v>6601</v>
      </c>
      <c r="L48" s="88"/>
      <c r="M48" s="88"/>
      <c r="N48" s="53" t="s">
        <v>812</v>
      </c>
      <c r="O48" s="88" t="s">
        <v>863</v>
      </c>
      <c r="P48" s="88"/>
      <c r="Q48" s="88"/>
      <c r="R48" s="53"/>
      <c r="S48" s="53"/>
      <c r="T48" s="53"/>
      <c r="U48" s="53"/>
      <c r="V48" s="53"/>
      <c r="W48" s="53"/>
      <c r="X48" s="53"/>
      <c r="Y48" s="53"/>
      <c r="Z48" s="54">
        <f t="shared" si="0"/>
        <v>8829.4</v>
      </c>
      <c r="AA48" s="58"/>
      <c r="AB48" s="58"/>
      <c r="AC48" s="58">
        <f>TRUNC(D48*K48*0.0000001,1)</f>
        <v>8829.4</v>
      </c>
      <c r="AD48" s="22" t="s">
        <v>936</v>
      </c>
    </row>
    <row r="49" spans="2:30" ht="19.7" customHeight="1" x14ac:dyDescent="0.2">
      <c r="B49" s="57" t="s">
        <v>160</v>
      </c>
      <c r="C49" s="19" t="s">
        <v>962</v>
      </c>
      <c r="D49" s="90">
        <v>10.199999999999999</v>
      </c>
      <c r="E49" s="88"/>
      <c r="F49" s="88"/>
      <c r="G49" s="88"/>
      <c r="H49" s="53" t="s">
        <v>769</v>
      </c>
      <c r="I49" s="53" t="s">
        <v>812</v>
      </c>
      <c r="J49" s="88">
        <f>자재단가!R27</f>
        <v>1229</v>
      </c>
      <c r="K49" s="88"/>
      <c r="L49" s="88"/>
      <c r="M49" s="88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4">
        <f t="shared" si="0"/>
        <v>12535.8</v>
      </c>
      <c r="AA49" s="58"/>
      <c r="AB49" s="58">
        <f>TRUNC(D49*J49,1)</f>
        <v>12535.8</v>
      </c>
      <c r="AC49" s="58"/>
      <c r="AD49" s="22" t="s">
        <v>962</v>
      </c>
    </row>
    <row r="50" spans="2:30" ht="19.7" customHeight="1" x14ac:dyDescent="0.2">
      <c r="B50" s="57" t="s">
        <v>85</v>
      </c>
      <c r="C50" s="19" t="s">
        <v>557</v>
      </c>
      <c r="D50" s="90">
        <v>16</v>
      </c>
      <c r="E50" s="88"/>
      <c r="F50" s="88"/>
      <c r="G50" s="88"/>
      <c r="H50" s="53" t="s">
        <v>210</v>
      </c>
      <c r="I50" s="53" t="s">
        <v>812</v>
      </c>
      <c r="J50" s="88">
        <f>AB49</f>
        <v>12535.8</v>
      </c>
      <c r="K50" s="88"/>
      <c r="L50" s="88"/>
      <c r="M50" s="88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4">
        <f t="shared" si="0"/>
        <v>2005.7</v>
      </c>
      <c r="AA50" s="58"/>
      <c r="AB50" s="58">
        <f>TRUNC(D50/100*J50,1)</f>
        <v>2005.7</v>
      </c>
      <c r="AC50" s="58"/>
      <c r="AD50" s="22" t="s">
        <v>962</v>
      </c>
    </row>
    <row r="51" spans="2:30" ht="19.7" customHeight="1" x14ac:dyDescent="0.2">
      <c r="B51" s="57" t="s">
        <v>237</v>
      </c>
      <c r="C51" s="19" t="s">
        <v>962</v>
      </c>
      <c r="D51" s="92">
        <v>1</v>
      </c>
      <c r="E51" s="88"/>
      <c r="F51" s="88"/>
      <c r="G51" s="53" t="s">
        <v>889</v>
      </c>
      <c r="H51" s="53" t="s">
        <v>812</v>
      </c>
      <c r="I51" s="88">
        <f>노임단가!F23</f>
        <v>267360</v>
      </c>
      <c r="J51" s="88"/>
      <c r="K51" s="88"/>
      <c r="L51" s="88"/>
      <c r="M51" s="53" t="s">
        <v>812</v>
      </c>
      <c r="N51" s="88" t="s">
        <v>683</v>
      </c>
      <c r="O51" s="88"/>
      <c r="P51" s="88"/>
      <c r="Q51" s="88"/>
      <c r="R51" s="88"/>
      <c r="S51" s="88"/>
      <c r="T51" s="88"/>
      <c r="U51" s="88"/>
      <c r="V51" s="88"/>
      <c r="W51" s="53"/>
      <c r="X51" s="53"/>
      <c r="Y51" s="53"/>
      <c r="Z51" s="54">
        <f t="shared" si="0"/>
        <v>55699.9</v>
      </c>
      <c r="AA51" s="58">
        <f>TRUNC(D51*I51*기계경비적용기준!E21,1)</f>
        <v>55699.9</v>
      </c>
      <c r="AB51" s="58"/>
      <c r="AC51" s="58"/>
      <c r="AD51" s="22" t="s">
        <v>962</v>
      </c>
    </row>
    <row r="52" spans="2:30" ht="19.7" customHeight="1" x14ac:dyDescent="0.2">
      <c r="B52" s="57" t="s">
        <v>962</v>
      </c>
      <c r="C52" s="19" t="s">
        <v>962</v>
      </c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27"/>
      <c r="AA52" s="21"/>
      <c r="AB52" s="21"/>
      <c r="AC52" s="21"/>
      <c r="AD52" s="22" t="s">
        <v>962</v>
      </c>
    </row>
    <row r="53" spans="2:30" ht="19.7" customHeight="1" x14ac:dyDescent="0.2">
      <c r="B53" s="51" t="s">
        <v>612</v>
      </c>
      <c r="C53" s="52" t="s">
        <v>857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4">
        <f t="shared" ref="Z53:Z58" si="1">AA53+AB53+AC53</f>
        <v>106133</v>
      </c>
      <c r="AA53" s="55">
        <f>TRUNC(AA54+AA55+AA56+AA57+AA58)</f>
        <v>55699</v>
      </c>
      <c r="AB53" s="55">
        <f>TRUNC(AB54+AB55+AB56+AB57+AB58)</f>
        <v>16537</v>
      </c>
      <c r="AC53" s="55">
        <f>TRUNC(AC54+AC55+AC56+AC57+AC58)</f>
        <v>33897</v>
      </c>
      <c r="AD53" s="56"/>
    </row>
    <row r="54" spans="2:30" ht="19.7" customHeight="1" x14ac:dyDescent="0.2">
      <c r="B54" s="57" t="s">
        <v>827</v>
      </c>
      <c r="C54" s="19" t="s">
        <v>857</v>
      </c>
      <c r="D54" s="88">
        <v>110926000</v>
      </c>
      <c r="E54" s="88"/>
      <c r="F54" s="88"/>
      <c r="G54" s="88"/>
      <c r="H54" s="88"/>
      <c r="I54" s="88" t="s">
        <v>195</v>
      </c>
      <c r="J54" s="88"/>
      <c r="K54" s="88">
        <v>2085</v>
      </c>
      <c r="L54" s="88"/>
      <c r="M54" s="88"/>
      <c r="N54" s="53" t="s">
        <v>812</v>
      </c>
      <c r="O54" s="88" t="s">
        <v>863</v>
      </c>
      <c r="P54" s="88"/>
      <c r="Q54" s="88"/>
      <c r="R54" s="53"/>
      <c r="S54" s="53"/>
      <c r="T54" s="53"/>
      <c r="U54" s="53"/>
      <c r="V54" s="53"/>
      <c r="W54" s="53"/>
      <c r="X54" s="53"/>
      <c r="Y54" s="53"/>
      <c r="Z54" s="54">
        <f t="shared" si="1"/>
        <v>23128</v>
      </c>
      <c r="AA54" s="58"/>
      <c r="AB54" s="58"/>
      <c r="AC54" s="58">
        <f>TRUNC(D54*K54*0.0000001,1)</f>
        <v>23128</v>
      </c>
      <c r="AD54" s="22" t="s">
        <v>936</v>
      </c>
    </row>
    <row r="55" spans="2:30" ht="19.7" customHeight="1" x14ac:dyDescent="0.2">
      <c r="B55" s="57" t="s">
        <v>158</v>
      </c>
      <c r="C55" s="19" t="s">
        <v>857</v>
      </c>
      <c r="D55" s="88">
        <v>16315000</v>
      </c>
      <c r="E55" s="88"/>
      <c r="F55" s="88"/>
      <c r="G55" s="88"/>
      <c r="H55" s="88"/>
      <c r="I55" s="88" t="s">
        <v>195</v>
      </c>
      <c r="J55" s="88"/>
      <c r="K55" s="88">
        <v>6601</v>
      </c>
      <c r="L55" s="88"/>
      <c r="M55" s="88"/>
      <c r="N55" s="53" t="s">
        <v>812</v>
      </c>
      <c r="O55" s="88" t="s">
        <v>863</v>
      </c>
      <c r="P55" s="88"/>
      <c r="Q55" s="88"/>
      <c r="R55" s="53"/>
      <c r="S55" s="53"/>
      <c r="T55" s="53"/>
      <c r="U55" s="53"/>
      <c r="V55" s="53"/>
      <c r="W55" s="53"/>
      <c r="X55" s="53"/>
      <c r="Y55" s="53"/>
      <c r="Z55" s="54">
        <f t="shared" si="1"/>
        <v>10769.5</v>
      </c>
      <c r="AA55" s="58"/>
      <c r="AB55" s="58"/>
      <c r="AC55" s="58">
        <f>TRUNC(D55*K55*0.0000001,1)</f>
        <v>10769.5</v>
      </c>
      <c r="AD55" s="22" t="s">
        <v>936</v>
      </c>
    </row>
    <row r="56" spans="2:30" ht="19.7" customHeight="1" x14ac:dyDescent="0.2">
      <c r="B56" s="57" t="s">
        <v>160</v>
      </c>
      <c r="C56" s="19" t="s">
        <v>962</v>
      </c>
      <c r="D56" s="90">
        <v>11.6</v>
      </c>
      <c r="E56" s="88"/>
      <c r="F56" s="88"/>
      <c r="G56" s="88"/>
      <c r="H56" s="53" t="s">
        <v>769</v>
      </c>
      <c r="I56" s="53" t="s">
        <v>812</v>
      </c>
      <c r="J56" s="88">
        <f>자재단가!R27</f>
        <v>1229</v>
      </c>
      <c r="K56" s="88"/>
      <c r="L56" s="88"/>
      <c r="M56" s="88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4">
        <f t="shared" si="1"/>
        <v>14256.4</v>
      </c>
      <c r="AA56" s="58"/>
      <c r="AB56" s="58">
        <f>TRUNC(D56*J56,1)</f>
        <v>14256.4</v>
      </c>
      <c r="AC56" s="58"/>
      <c r="AD56" s="22" t="s">
        <v>962</v>
      </c>
    </row>
    <row r="57" spans="2:30" ht="19.7" customHeight="1" x14ac:dyDescent="0.2">
      <c r="B57" s="57" t="s">
        <v>85</v>
      </c>
      <c r="C57" s="19" t="s">
        <v>557</v>
      </c>
      <c r="D57" s="90">
        <v>16</v>
      </c>
      <c r="E57" s="88"/>
      <c r="F57" s="88"/>
      <c r="G57" s="88"/>
      <c r="H57" s="53" t="s">
        <v>210</v>
      </c>
      <c r="I57" s="53" t="s">
        <v>812</v>
      </c>
      <c r="J57" s="88">
        <f>AB56</f>
        <v>14256.4</v>
      </c>
      <c r="K57" s="88"/>
      <c r="L57" s="88"/>
      <c r="M57" s="88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4">
        <f t="shared" si="1"/>
        <v>2281</v>
      </c>
      <c r="AA57" s="58"/>
      <c r="AB57" s="58">
        <f>TRUNC(D57/100*J57,1)</f>
        <v>2281</v>
      </c>
      <c r="AC57" s="58"/>
      <c r="AD57" s="22" t="s">
        <v>962</v>
      </c>
    </row>
    <row r="58" spans="2:30" ht="19.7" customHeight="1" x14ac:dyDescent="0.2">
      <c r="B58" s="57" t="s">
        <v>237</v>
      </c>
      <c r="C58" s="19" t="s">
        <v>962</v>
      </c>
      <c r="D58" s="92">
        <v>1</v>
      </c>
      <c r="E58" s="88"/>
      <c r="F58" s="88"/>
      <c r="G58" s="53" t="s">
        <v>889</v>
      </c>
      <c r="H58" s="53" t="s">
        <v>812</v>
      </c>
      <c r="I58" s="88">
        <f>노임단가!F23</f>
        <v>267360</v>
      </c>
      <c r="J58" s="88"/>
      <c r="K58" s="88"/>
      <c r="L58" s="88"/>
      <c r="M58" s="53" t="s">
        <v>812</v>
      </c>
      <c r="N58" s="88" t="s">
        <v>683</v>
      </c>
      <c r="O58" s="88"/>
      <c r="P58" s="88"/>
      <c r="Q58" s="88"/>
      <c r="R58" s="88"/>
      <c r="S58" s="88"/>
      <c r="T58" s="88"/>
      <c r="U58" s="88"/>
      <c r="V58" s="88"/>
      <c r="W58" s="53"/>
      <c r="X58" s="53"/>
      <c r="Y58" s="53"/>
      <c r="Z58" s="54">
        <f t="shared" si="1"/>
        <v>55699.9</v>
      </c>
      <c r="AA58" s="58">
        <f>TRUNC(D58*I58*기계경비적용기준!E21,1)</f>
        <v>55699.9</v>
      </c>
      <c r="AB58" s="58"/>
      <c r="AC58" s="58"/>
      <c r="AD58" s="22" t="s">
        <v>962</v>
      </c>
    </row>
    <row r="59" spans="2:30" ht="19.7" customHeight="1" x14ac:dyDescent="0.2">
      <c r="B59" s="57" t="s">
        <v>962</v>
      </c>
      <c r="C59" s="19" t="s">
        <v>962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27"/>
      <c r="AA59" s="21"/>
      <c r="AB59" s="21"/>
      <c r="AC59" s="21"/>
      <c r="AD59" s="22" t="s">
        <v>962</v>
      </c>
    </row>
    <row r="60" spans="2:30" ht="19.7" customHeight="1" x14ac:dyDescent="0.2">
      <c r="B60" s="62" t="s">
        <v>117</v>
      </c>
      <c r="C60" s="63" t="s">
        <v>406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60">
        <f>AA60+AB60+AC60</f>
        <v>68872</v>
      </c>
      <c r="AA60" s="64">
        <f>TRUNC(AA61+AA62+AA63+AA64)</f>
        <v>55699</v>
      </c>
      <c r="AB60" s="64">
        <f>TRUNC(AB61+AB62+AB63+AB64)</f>
        <v>6194</v>
      </c>
      <c r="AC60" s="64">
        <f>TRUNC(AC61+AC62+AC63+AC64)</f>
        <v>6979</v>
      </c>
      <c r="AD60" s="12"/>
    </row>
    <row r="61" spans="2:30" ht="19.7" customHeight="1" x14ac:dyDescent="0.2">
      <c r="B61" s="57" t="s">
        <v>631</v>
      </c>
      <c r="C61" s="19" t="s">
        <v>406</v>
      </c>
      <c r="D61" s="88">
        <v>33474000</v>
      </c>
      <c r="E61" s="88"/>
      <c r="F61" s="88"/>
      <c r="G61" s="88"/>
      <c r="H61" s="88"/>
      <c r="I61" s="88" t="s">
        <v>195</v>
      </c>
      <c r="J61" s="88"/>
      <c r="K61" s="88">
        <v>2085</v>
      </c>
      <c r="L61" s="88"/>
      <c r="M61" s="88"/>
      <c r="N61" s="53" t="s">
        <v>812</v>
      </c>
      <c r="O61" s="88" t="s">
        <v>863</v>
      </c>
      <c r="P61" s="88"/>
      <c r="Q61" s="88"/>
      <c r="R61" s="53"/>
      <c r="S61" s="53"/>
      <c r="T61" s="53"/>
      <c r="U61" s="53"/>
      <c r="V61" s="53"/>
      <c r="W61" s="53"/>
      <c r="X61" s="53"/>
      <c r="Y61" s="53"/>
      <c r="Z61" s="54">
        <f>AA61+AB61+AC61</f>
        <v>6979.3</v>
      </c>
      <c r="AA61" s="58"/>
      <c r="AB61" s="58"/>
      <c r="AC61" s="58">
        <f>TRUNC(D61*K61*0.0000001,1)</f>
        <v>6979.3</v>
      </c>
      <c r="AD61" s="22" t="s">
        <v>936</v>
      </c>
    </row>
    <row r="62" spans="2:30" ht="19.7" customHeight="1" x14ac:dyDescent="0.2">
      <c r="B62" s="57" t="s">
        <v>160</v>
      </c>
      <c r="C62" s="19" t="s">
        <v>962</v>
      </c>
      <c r="D62" s="90">
        <v>3.5</v>
      </c>
      <c r="E62" s="88"/>
      <c r="F62" s="88"/>
      <c r="G62" s="88"/>
      <c r="H62" s="53" t="s">
        <v>769</v>
      </c>
      <c r="I62" s="53" t="s">
        <v>812</v>
      </c>
      <c r="J62" s="88">
        <f>자재단가!R27</f>
        <v>1229</v>
      </c>
      <c r="K62" s="88"/>
      <c r="L62" s="88"/>
      <c r="M62" s="88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4">
        <f>AA62+AB62+AC62</f>
        <v>4301.5</v>
      </c>
      <c r="AA62" s="58"/>
      <c r="AB62" s="58">
        <f>TRUNC(D62*J62,1)</f>
        <v>4301.5</v>
      </c>
      <c r="AC62" s="58"/>
      <c r="AD62" s="22" t="s">
        <v>962</v>
      </c>
    </row>
    <row r="63" spans="2:30" ht="19.7" customHeight="1" x14ac:dyDescent="0.2">
      <c r="B63" s="57" t="s">
        <v>85</v>
      </c>
      <c r="C63" s="19" t="s">
        <v>557</v>
      </c>
      <c r="D63" s="90">
        <v>44</v>
      </c>
      <c r="E63" s="88"/>
      <c r="F63" s="88"/>
      <c r="G63" s="88"/>
      <c r="H63" s="53" t="s">
        <v>210</v>
      </c>
      <c r="I63" s="53" t="s">
        <v>812</v>
      </c>
      <c r="J63" s="88">
        <f>AB62</f>
        <v>4301.5</v>
      </c>
      <c r="K63" s="88"/>
      <c r="L63" s="88"/>
      <c r="M63" s="88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4">
        <f>AA63+AB63+AC63</f>
        <v>1892.6</v>
      </c>
      <c r="AA63" s="58"/>
      <c r="AB63" s="58">
        <f>TRUNC(D63/100*J63,1)</f>
        <v>1892.6</v>
      </c>
      <c r="AC63" s="58"/>
      <c r="AD63" s="22" t="s">
        <v>962</v>
      </c>
    </row>
    <row r="64" spans="2:30" ht="19.7" customHeight="1" x14ac:dyDescent="0.2">
      <c r="B64" s="57" t="s">
        <v>237</v>
      </c>
      <c r="C64" s="19" t="s">
        <v>962</v>
      </c>
      <c r="D64" s="92">
        <v>1</v>
      </c>
      <c r="E64" s="88"/>
      <c r="F64" s="88"/>
      <c r="G64" s="53" t="s">
        <v>889</v>
      </c>
      <c r="H64" s="53" t="s">
        <v>812</v>
      </c>
      <c r="I64" s="88">
        <f>노임단가!F23</f>
        <v>267360</v>
      </c>
      <c r="J64" s="88"/>
      <c r="K64" s="88"/>
      <c r="L64" s="88"/>
      <c r="M64" s="53" t="s">
        <v>812</v>
      </c>
      <c r="N64" s="88" t="s">
        <v>683</v>
      </c>
      <c r="O64" s="88"/>
      <c r="P64" s="88"/>
      <c r="Q64" s="88"/>
      <c r="R64" s="88"/>
      <c r="S64" s="88"/>
      <c r="T64" s="88"/>
      <c r="U64" s="88"/>
      <c r="V64" s="88"/>
      <c r="W64" s="53"/>
      <c r="X64" s="53"/>
      <c r="Y64" s="53"/>
      <c r="Z64" s="54">
        <f>AA64+AB64+AC64</f>
        <v>55699.9</v>
      </c>
      <c r="AA64" s="58">
        <f>TRUNC(D64*I64*기계경비적용기준!E21,1)</f>
        <v>55699.9</v>
      </c>
      <c r="AB64" s="58"/>
      <c r="AC64" s="58"/>
      <c r="AD64" s="22" t="s">
        <v>962</v>
      </c>
    </row>
    <row r="65" spans="2:30" ht="19.7" customHeight="1" x14ac:dyDescent="0.2">
      <c r="B65" s="57" t="s">
        <v>962</v>
      </c>
      <c r="C65" s="19" t="s">
        <v>962</v>
      </c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27"/>
      <c r="AA65" s="21"/>
      <c r="AB65" s="21"/>
      <c r="AC65" s="21"/>
      <c r="AD65" s="22" t="s">
        <v>962</v>
      </c>
    </row>
    <row r="66" spans="2:30" ht="19.7" customHeight="1" x14ac:dyDescent="0.2">
      <c r="B66" s="51" t="s">
        <v>765</v>
      </c>
      <c r="C66" s="52" t="s">
        <v>338</v>
      </c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4">
        <f>AA66+AB66+AC66</f>
        <v>58318</v>
      </c>
      <c r="AA66" s="55">
        <f>TRUNC(AA67+AA68+AA69+AA70)</f>
        <v>47231</v>
      </c>
      <c r="AB66" s="55">
        <f>TRUNC(AB67+AB68+AB69+AB70)</f>
        <v>4918</v>
      </c>
      <c r="AC66" s="55">
        <f>TRUNC(AC67+AC68+AC69+AC70)</f>
        <v>6169</v>
      </c>
      <c r="AD66" s="56"/>
    </row>
    <row r="67" spans="2:30" ht="19.7" customHeight="1" x14ac:dyDescent="0.2">
      <c r="B67" s="57" t="s">
        <v>367</v>
      </c>
      <c r="C67" s="19" t="s">
        <v>338</v>
      </c>
      <c r="D67" s="88">
        <v>20793000</v>
      </c>
      <c r="E67" s="88"/>
      <c r="F67" s="88"/>
      <c r="G67" s="88"/>
      <c r="H67" s="88"/>
      <c r="I67" s="88" t="s">
        <v>195</v>
      </c>
      <c r="J67" s="88"/>
      <c r="K67" s="88">
        <v>2967</v>
      </c>
      <c r="L67" s="88"/>
      <c r="M67" s="88"/>
      <c r="N67" s="53" t="s">
        <v>812</v>
      </c>
      <c r="O67" s="88" t="s">
        <v>863</v>
      </c>
      <c r="P67" s="88"/>
      <c r="Q67" s="88"/>
      <c r="R67" s="53"/>
      <c r="S67" s="53"/>
      <c r="T67" s="53"/>
      <c r="U67" s="53"/>
      <c r="V67" s="53"/>
      <c r="W67" s="53"/>
      <c r="X67" s="53"/>
      <c r="Y67" s="53"/>
      <c r="Z67" s="54">
        <f>AA67+AB67+AC67</f>
        <v>6169.2</v>
      </c>
      <c r="AA67" s="58"/>
      <c r="AB67" s="58"/>
      <c r="AC67" s="58">
        <f>TRUNC(D67*K67*0.0000001,1)</f>
        <v>6169.2</v>
      </c>
      <c r="AD67" s="22" t="s">
        <v>936</v>
      </c>
    </row>
    <row r="68" spans="2:30" ht="19.7" customHeight="1" x14ac:dyDescent="0.2">
      <c r="B68" s="57" t="s">
        <v>160</v>
      </c>
      <c r="C68" s="19" t="s">
        <v>962</v>
      </c>
      <c r="D68" s="90">
        <v>2.9</v>
      </c>
      <c r="E68" s="88"/>
      <c r="F68" s="88"/>
      <c r="G68" s="88"/>
      <c r="H68" s="53" t="s">
        <v>769</v>
      </c>
      <c r="I68" s="53" t="s">
        <v>812</v>
      </c>
      <c r="J68" s="88">
        <f>자재단가!R27</f>
        <v>1229</v>
      </c>
      <c r="K68" s="88"/>
      <c r="L68" s="88"/>
      <c r="M68" s="88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4">
        <f>AA68+AB68+AC68</f>
        <v>3564.1</v>
      </c>
      <c r="AA68" s="58"/>
      <c r="AB68" s="58">
        <f>TRUNC(D68*J68,1)</f>
        <v>3564.1</v>
      </c>
      <c r="AC68" s="58"/>
      <c r="AD68" s="22" t="s">
        <v>962</v>
      </c>
    </row>
    <row r="69" spans="2:30" ht="19.7" customHeight="1" x14ac:dyDescent="0.2">
      <c r="B69" s="57" t="s">
        <v>29</v>
      </c>
      <c r="C69" s="19" t="s">
        <v>557</v>
      </c>
      <c r="D69" s="90">
        <v>38</v>
      </c>
      <c r="E69" s="88"/>
      <c r="F69" s="88"/>
      <c r="G69" s="88"/>
      <c r="H69" s="53" t="s">
        <v>210</v>
      </c>
      <c r="I69" s="53" t="s">
        <v>812</v>
      </c>
      <c r="J69" s="88">
        <f>AB68</f>
        <v>3564.1</v>
      </c>
      <c r="K69" s="88"/>
      <c r="L69" s="88"/>
      <c r="M69" s="88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4">
        <f>AA69+AB69+AC69</f>
        <v>1354.3</v>
      </c>
      <c r="AA69" s="58"/>
      <c r="AB69" s="58">
        <f>TRUNC(D69/100*J69,1)</f>
        <v>1354.3</v>
      </c>
      <c r="AC69" s="58"/>
      <c r="AD69" s="22" t="s">
        <v>962</v>
      </c>
    </row>
    <row r="70" spans="2:30" ht="19.7" customHeight="1" x14ac:dyDescent="0.2">
      <c r="B70" s="57" t="s">
        <v>78</v>
      </c>
      <c r="C70" s="19" t="s">
        <v>962</v>
      </c>
      <c r="D70" s="92">
        <v>1</v>
      </c>
      <c r="E70" s="88"/>
      <c r="F70" s="88"/>
      <c r="G70" s="53" t="s">
        <v>889</v>
      </c>
      <c r="H70" s="53" t="s">
        <v>812</v>
      </c>
      <c r="I70" s="88">
        <f>노임단가!F24</f>
        <v>226709</v>
      </c>
      <c r="J70" s="88"/>
      <c r="K70" s="88"/>
      <c r="L70" s="88"/>
      <c r="M70" s="53" t="s">
        <v>812</v>
      </c>
      <c r="N70" s="88" t="s">
        <v>683</v>
      </c>
      <c r="O70" s="88"/>
      <c r="P70" s="88"/>
      <c r="Q70" s="88"/>
      <c r="R70" s="88"/>
      <c r="S70" s="88"/>
      <c r="T70" s="88"/>
      <c r="U70" s="88"/>
      <c r="V70" s="88"/>
      <c r="W70" s="53"/>
      <c r="X70" s="53"/>
      <c r="Y70" s="53"/>
      <c r="Z70" s="54">
        <f>AA70+AB70+AC70</f>
        <v>47231</v>
      </c>
      <c r="AA70" s="58">
        <f>TRUNC(D70*I70*기계경비적용기준!E21,1)</f>
        <v>47231</v>
      </c>
      <c r="AB70" s="58"/>
      <c r="AC70" s="58"/>
      <c r="AD70" s="22" t="s">
        <v>962</v>
      </c>
    </row>
    <row r="71" spans="2:30" ht="19.7" customHeight="1" x14ac:dyDescent="0.2">
      <c r="B71" s="57" t="s">
        <v>962</v>
      </c>
      <c r="C71" s="19" t="s">
        <v>962</v>
      </c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27"/>
      <c r="AA71" s="21"/>
      <c r="AB71" s="21"/>
      <c r="AC71" s="21"/>
      <c r="AD71" s="22" t="s">
        <v>962</v>
      </c>
    </row>
    <row r="72" spans="2:30" ht="19.7" customHeight="1" x14ac:dyDescent="0.2">
      <c r="B72" s="51" t="s">
        <v>69</v>
      </c>
      <c r="C72" s="52" t="s">
        <v>285</v>
      </c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4">
        <f>AA72+AB72+AC72</f>
        <v>62913</v>
      </c>
      <c r="AA72" s="55">
        <f>TRUNC(AA73+AA74+AA75+AA76)</f>
        <v>47231</v>
      </c>
      <c r="AB72" s="55">
        <f>TRUNC(AB73+AB74+AB75+AB76)</f>
        <v>8480</v>
      </c>
      <c r="AC72" s="55">
        <f>TRUNC(AC73+AC74+AC75+AC76)</f>
        <v>7202</v>
      </c>
      <c r="AD72" s="56"/>
    </row>
    <row r="73" spans="2:30" ht="19.7" customHeight="1" x14ac:dyDescent="0.2">
      <c r="B73" s="57" t="s">
        <v>367</v>
      </c>
      <c r="C73" s="19" t="s">
        <v>285</v>
      </c>
      <c r="D73" s="88">
        <v>24274000</v>
      </c>
      <c r="E73" s="88"/>
      <c r="F73" s="88"/>
      <c r="G73" s="88"/>
      <c r="H73" s="88"/>
      <c r="I73" s="88" t="s">
        <v>195</v>
      </c>
      <c r="J73" s="88"/>
      <c r="K73" s="88">
        <v>2967</v>
      </c>
      <c r="L73" s="88"/>
      <c r="M73" s="88"/>
      <c r="N73" s="53" t="s">
        <v>812</v>
      </c>
      <c r="O73" s="88" t="s">
        <v>863</v>
      </c>
      <c r="P73" s="88"/>
      <c r="Q73" s="88"/>
      <c r="R73" s="53"/>
      <c r="S73" s="53"/>
      <c r="T73" s="53"/>
      <c r="U73" s="53"/>
      <c r="V73" s="53"/>
      <c r="W73" s="53"/>
      <c r="X73" s="53"/>
      <c r="Y73" s="53"/>
      <c r="Z73" s="54">
        <f>AA73+AB73+AC73</f>
        <v>7202</v>
      </c>
      <c r="AA73" s="58"/>
      <c r="AB73" s="58"/>
      <c r="AC73" s="58">
        <f>TRUNC(D73*K73*0.0000001,1)</f>
        <v>7202</v>
      </c>
      <c r="AD73" s="22" t="s">
        <v>936</v>
      </c>
    </row>
    <row r="74" spans="2:30" ht="19.7" customHeight="1" x14ac:dyDescent="0.2">
      <c r="B74" s="57" t="s">
        <v>160</v>
      </c>
      <c r="C74" s="19" t="s">
        <v>962</v>
      </c>
      <c r="D74" s="90">
        <v>5</v>
      </c>
      <c r="E74" s="88"/>
      <c r="F74" s="88"/>
      <c r="G74" s="88"/>
      <c r="H74" s="53" t="s">
        <v>769</v>
      </c>
      <c r="I74" s="53" t="s">
        <v>812</v>
      </c>
      <c r="J74" s="88">
        <f>자재단가!R27</f>
        <v>1229</v>
      </c>
      <c r="K74" s="88"/>
      <c r="L74" s="88"/>
      <c r="M74" s="88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4">
        <f>AA74+AB74+AC74</f>
        <v>6145</v>
      </c>
      <c r="AA74" s="58"/>
      <c r="AB74" s="58">
        <f>TRUNC(D74*J74,1)</f>
        <v>6145</v>
      </c>
      <c r="AC74" s="58"/>
      <c r="AD74" s="22" t="s">
        <v>962</v>
      </c>
    </row>
    <row r="75" spans="2:30" ht="19.7" customHeight="1" x14ac:dyDescent="0.2">
      <c r="B75" s="57" t="s">
        <v>29</v>
      </c>
      <c r="C75" s="19" t="s">
        <v>557</v>
      </c>
      <c r="D75" s="90">
        <v>38</v>
      </c>
      <c r="E75" s="88"/>
      <c r="F75" s="88"/>
      <c r="G75" s="88"/>
      <c r="H75" s="53" t="s">
        <v>210</v>
      </c>
      <c r="I75" s="53" t="s">
        <v>812</v>
      </c>
      <c r="J75" s="88">
        <f>AB74</f>
        <v>6145</v>
      </c>
      <c r="K75" s="88"/>
      <c r="L75" s="88"/>
      <c r="M75" s="88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4">
        <f>AA75+AB75+AC75</f>
        <v>2335.1</v>
      </c>
      <c r="AA75" s="58"/>
      <c r="AB75" s="58">
        <f>TRUNC(D75/100*J75,1)</f>
        <v>2335.1</v>
      </c>
      <c r="AC75" s="58"/>
      <c r="AD75" s="22" t="s">
        <v>962</v>
      </c>
    </row>
    <row r="76" spans="2:30" ht="19.7" customHeight="1" x14ac:dyDescent="0.2">
      <c r="B76" s="57" t="s">
        <v>78</v>
      </c>
      <c r="C76" s="19" t="s">
        <v>962</v>
      </c>
      <c r="D76" s="92">
        <v>1</v>
      </c>
      <c r="E76" s="88"/>
      <c r="F76" s="88"/>
      <c r="G76" s="53" t="s">
        <v>889</v>
      </c>
      <c r="H76" s="53" t="s">
        <v>812</v>
      </c>
      <c r="I76" s="88">
        <f>노임단가!F24</f>
        <v>226709</v>
      </c>
      <c r="J76" s="88"/>
      <c r="K76" s="88"/>
      <c r="L76" s="88"/>
      <c r="M76" s="53" t="s">
        <v>812</v>
      </c>
      <c r="N76" s="88" t="s">
        <v>683</v>
      </c>
      <c r="O76" s="88"/>
      <c r="P76" s="88"/>
      <c r="Q76" s="88"/>
      <c r="R76" s="88"/>
      <c r="S76" s="88"/>
      <c r="T76" s="88"/>
      <c r="U76" s="88"/>
      <c r="V76" s="88"/>
      <c r="W76" s="53"/>
      <c r="X76" s="53"/>
      <c r="Y76" s="53"/>
      <c r="Z76" s="54">
        <f>AA76+AB76+AC76</f>
        <v>47231</v>
      </c>
      <c r="AA76" s="58">
        <f>TRUNC(D76*I76*기계경비적용기준!E21,1)</f>
        <v>47231</v>
      </c>
      <c r="AB76" s="58"/>
      <c r="AC76" s="58"/>
      <c r="AD76" s="22" t="s">
        <v>962</v>
      </c>
    </row>
    <row r="77" spans="2:30" ht="19.7" customHeight="1" x14ac:dyDescent="0.2">
      <c r="B77" s="57" t="s">
        <v>962</v>
      </c>
      <c r="C77" s="19" t="s">
        <v>962</v>
      </c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27"/>
      <c r="AA77" s="21"/>
      <c r="AB77" s="21"/>
      <c r="AC77" s="21"/>
      <c r="AD77" s="22" t="s">
        <v>962</v>
      </c>
    </row>
    <row r="78" spans="2:30" ht="19.7" customHeight="1" x14ac:dyDescent="0.2">
      <c r="B78" s="51" t="s">
        <v>395</v>
      </c>
      <c r="C78" s="52" t="s">
        <v>919</v>
      </c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4">
        <f>AA78+AB78+AC78</f>
        <v>72976</v>
      </c>
      <c r="AA78" s="55">
        <f>TRUNC(AA79+AA80+AA81+AA82)</f>
        <v>47231</v>
      </c>
      <c r="AB78" s="55">
        <f>TRUNC(AB79+AB80+AB81+AB82)</f>
        <v>15772</v>
      </c>
      <c r="AC78" s="55">
        <f>TRUNC(AC79+AC80+AC81+AC82)</f>
        <v>9973</v>
      </c>
      <c r="AD78" s="56"/>
    </row>
    <row r="79" spans="2:30" ht="19.7" customHeight="1" x14ac:dyDescent="0.2">
      <c r="B79" s="57" t="s">
        <v>367</v>
      </c>
      <c r="C79" s="19" t="s">
        <v>919</v>
      </c>
      <c r="D79" s="88">
        <v>35368000</v>
      </c>
      <c r="E79" s="88"/>
      <c r="F79" s="88"/>
      <c r="G79" s="88"/>
      <c r="H79" s="88"/>
      <c r="I79" s="88" t="s">
        <v>195</v>
      </c>
      <c r="J79" s="88"/>
      <c r="K79" s="88">
        <v>2819.9999999999995</v>
      </c>
      <c r="L79" s="88"/>
      <c r="M79" s="88"/>
      <c r="N79" s="53" t="s">
        <v>812</v>
      </c>
      <c r="O79" s="88" t="s">
        <v>863</v>
      </c>
      <c r="P79" s="88"/>
      <c r="Q79" s="88"/>
      <c r="R79" s="53"/>
      <c r="S79" s="53"/>
      <c r="T79" s="53"/>
      <c r="U79" s="53"/>
      <c r="V79" s="53"/>
      <c r="W79" s="53"/>
      <c r="X79" s="53"/>
      <c r="Y79" s="53"/>
      <c r="Z79" s="54">
        <f>AA79+AB79+AC79</f>
        <v>9973.7000000000007</v>
      </c>
      <c r="AA79" s="58"/>
      <c r="AB79" s="58"/>
      <c r="AC79" s="58">
        <f>TRUNC(D79*K79*0.0000001,1)</f>
        <v>9973.7000000000007</v>
      </c>
      <c r="AD79" s="22" t="s">
        <v>936</v>
      </c>
    </row>
    <row r="80" spans="2:30" ht="19.7" customHeight="1" x14ac:dyDescent="0.2">
      <c r="B80" s="57" t="s">
        <v>160</v>
      </c>
      <c r="C80" s="19" t="s">
        <v>962</v>
      </c>
      <c r="D80" s="90">
        <v>9.3000000000000007</v>
      </c>
      <c r="E80" s="88"/>
      <c r="F80" s="88"/>
      <c r="G80" s="88"/>
      <c r="H80" s="53" t="s">
        <v>769</v>
      </c>
      <c r="I80" s="53" t="s">
        <v>812</v>
      </c>
      <c r="J80" s="88">
        <f>자재단가!R27</f>
        <v>1229</v>
      </c>
      <c r="K80" s="88"/>
      <c r="L80" s="88"/>
      <c r="M80" s="88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4">
        <f>AA80+AB80+AC80</f>
        <v>11429.7</v>
      </c>
      <c r="AA80" s="58"/>
      <c r="AB80" s="58">
        <f>TRUNC(D80*J80,1)</f>
        <v>11429.7</v>
      </c>
      <c r="AC80" s="58"/>
      <c r="AD80" s="22" t="s">
        <v>962</v>
      </c>
    </row>
    <row r="81" spans="2:30" ht="19.7" customHeight="1" x14ac:dyDescent="0.2">
      <c r="B81" s="57" t="s">
        <v>85</v>
      </c>
      <c r="C81" s="19" t="s">
        <v>557</v>
      </c>
      <c r="D81" s="90">
        <v>38</v>
      </c>
      <c r="E81" s="88"/>
      <c r="F81" s="88"/>
      <c r="G81" s="88"/>
      <c r="H81" s="53" t="s">
        <v>210</v>
      </c>
      <c r="I81" s="53" t="s">
        <v>812</v>
      </c>
      <c r="J81" s="88">
        <f>AB80</f>
        <v>11429.7</v>
      </c>
      <c r="K81" s="88"/>
      <c r="L81" s="88"/>
      <c r="M81" s="88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4">
        <f>AA81+AB81+AC81</f>
        <v>4343.2</v>
      </c>
      <c r="AA81" s="58"/>
      <c r="AB81" s="58">
        <f>TRUNC(D81/100*J81,1)</f>
        <v>4343.2</v>
      </c>
      <c r="AC81" s="58"/>
      <c r="AD81" s="22" t="s">
        <v>962</v>
      </c>
    </row>
    <row r="82" spans="2:30" ht="19.7" customHeight="1" x14ac:dyDescent="0.2">
      <c r="B82" s="57" t="s">
        <v>78</v>
      </c>
      <c r="C82" s="19" t="s">
        <v>962</v>
      </c>
      <c r="D82" s="92">
        <v>1</v>
      </c>
      <c r="E82" s="88"/>
      <c r="F82" s="88"/>
      <c r="G82" s="53" t="s">
        <v>889</v>
      </c>
      <c r="H82" s="53" t="s">
        <v>812</v>
      </c>
      <c r="I82" s="88">
        <f>노임단가!F24</f>
        <v>226709</v>
      </c>
      <c r="J82" s="88"/>
      <c r="K82" s="88"/>
      <c r="L82" s="88"/>
      <c r="M82" s="53" t="s">
        <v>812</v>
      </c>
      <c r="N82" s="88" t="s">
        <v>683</v>
      </c>
      <c r="O82" s="88"/>
      <c r="P82" s="88"/>
      <c r="Q82" s="88"/>
      <c r="R82" s="88"/>
      <c r="S82" s="88"/>
      <c r="T82" s="88"/>
      <c r="U82" s="88"/>
      <c r="V82" s="88"/>
      <c r="W82" s="53"/>
      <c r="X82" s="53"/>
      <c r="Y82" s="53"/>
      <c r="Z82" s="54">
        <f>AA82+AB82+AC82</f>
        <v>47231</v>
      </c>
      <c r="AA82" s="58">
        <f>TRUNC(D82*I82*기계경비적용기준!E21,1)</f>
        <v>47231</v>
      </c>
      <c r="AB82" s="58"/>
      <c r="AC82" s="58"/>
      <c r="AD82" s="22" t="s">
        <v>962</v>
      </c>
    </row>
    <row r="83" spans="2:30" ht="19.7" customHeight="1" x14ac:dyDescent="0.2">
      <c r="B83" s="57" t="s">
        <v>962</v>
      </c>
      <c r="C83" s="19" t="s">
        <v>962</v>
      </c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27"/>
      <c r="AA83" s="21"/>
      <c r="AB83" s="21"/>
      <c r="AC83" s="21"/>
      <c r="AD83" s="22" t="s">
        <v>962</v>
      </c>
    </row>
    <row r="84" spans="2:30" ht="19.7" customHeight="1" x14ac:dyDescent="0.2">
      <c r="B84" s="51" t="s">
        <v>491</v>
      </c>
      <c r="C84" s="52" t="s">
        <v>103</v>
      </c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4">
        <f t="shared" ref="Z84:Z89" si="2">AA84+AB84+AC84</f>
        <v>102711</v>
      </c>
      <c r="AA84" s="55">
        <f>TRUNC(AA85+AA86+AA87+AA88+AA89)</f>
        <v>55699</v>
      </c>
      <c r="AB84" s="55">
        <f>TRUNC(AB85+AB86+AB87+AB88+AB89)</f>
        <v>26966</v>
      </c>
      <c r="AC84" s="55">
        <f>TRUNC(AC85+AC86+AC87+AC88+AC89)</f>
        <v>20046</v>
      </c>
      <c r="AD84" s="56"/>
    </row>
    <row r="85" spans="2:30" ht="19.7" customHeight="1" x14ac:dyDescent="0.2">
      <c r="B85" s="57" t="s">
        <v>514</v>
      </c>
      <c r="C85" s="19" t="s">
        <v>103</v>
      </c>
      <c r="D85" s="88">
        <v>86142000</v>
      </c>
      <c r="E85" s="88"/>
      <c r="F85" s="88"/>
      <c r="G85" s="88"/>
      <c r="H85" s="88"/>
      <c r="I85" s="88" t="s">
        <v>195</v>
      </c>
      <c r="J85" s="88"/>
      <c r="K85" s="88">
        <v>2279</v>
      </c>
      <c r="L85" s="88"/>
      <c r="M85" s="88"/>
      <c r="N85" s="53" t="s">
        <v>812</v>
      </c>
      <c r="O85" s="88" t="s">
        <v>863</v>
      </c>
      <c r="P85" s="88"/>
      <c r="Q85" s="88"/>
      <c r="R85" s="53"/>
      <c r="S85" s="53"/>
      <c r="T85" s="53"/>
      <c r="U85" s="53"/>
      <c r="V85" s="53"/>
      <c r="W85" s="53"/>
      <c r="X85" s="53"/>
      <c r="Y85" s="53"/>
      <c r="Z85" s="54">
        <f t="shared" si="2"/>
        <v>19631.7</v>
      </c>
      <c r="AA85" s="58"/>
      <c r="AB85" s="58"/>
      <c r="AC85" s="58">
        <f>TRUNC(D85*K85*0.0000001,1)</f>
        <v>19631.7</v>
      </c>
      <c r="AD85" s="22" t="s">
        <v>936</v>
      </c>
    </row>
    <row r="86" spans="2:30" ht="19.7" customHeight="1" x14ac:dyDescent="0.2">
      <c r="B86" s="57" t="s">
        <v>41</v>
      </c>
      <c r="C86" s="19" t="s">
        <v>103</v>
      </c>
      <c r="D86" s="88">
        <v>1546000</v>
      </c>
      <c r="E86" s="88"/>
      <c r="F86" s="88"/>
      <c r="G86" s="88"/>
      <c r="H86" s="88"/>
      <c r="I86" s="88" t="s">
        <v>195</v>
      </c>
      <c r="J86" s="88"/>
      <c r="K86" s="88">
        <v>2684.0000000000005</v>
      </c>
      <c r="L86" s="88"/>
      <c r="M86" s="88"/>
      <c r="N86" s="53" t="s">
        <v>812</v>
      </c>
      <c r="O86" s="88" t="s">
        <v>863</v>
      </c>
      <c r="P86" s="88"/>
      <c r="Q86" s="88"/>
      <c r="R86" s="53"/>
      <c r="S86" s="53"/>
      <c r="T86" s="53"/>
      <c r="U86" s="53"/>
      <c r="V86" s="53"/>
      <c r="W86" s="53"/>
      <c r="X86" s="53"/>
      <c r="Y86" s="53"/>
      <c r="Z86" s="54">
        <f t="shared" si="2"/>
        <v>414.9</v>
      </c>
      <c r="AA86" s="58"/>
      <c r="AB86" s="58"/>
      <c r="AC86" s="58">
        <f>TRUNC(D86*K86*0.0000001,1)</f>
        <v>414.9</v>
      </c>
      <c r="AD86" s="22" t="s">
        <v>936</v>
      </c>
    </row>
    <row r="87" spans="2:30" ht="19.7" customHeight="1" x14ac:dyDescent="0.2">
      <c r="B87" s="57" t="s">
        <v>160</v>
      </c>
      <c r="C87" s="19" t="s">
        <v>962</v>
      </c>
      <c r="D87" s="90">
        <v>15.9</v>
      </c>
      <c r="E87" s="88"/>
      <c r="F87" s="88"/>
      <c r="G87" s="88"/>
      <c r="H87" s="53" t="s">
        <v>769</v>
      </c>
      <c r="I87" s="53" t="s">
        <v>812</v>
      </c>
      <c r="J87" s="88">
        <f>자재단가!R27</f>
        <v>1229</v>
      </c>
      <c r="K87" s="88"/>
      <c r="L87" s="88"/>
      <c r="M87" s="88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4">
        <f t="shared" si="2"/>
        <v>19541.099999999999</v>
      </c>
      <c r="AA87" s="58"/>
      <c r="AB87" s="58">
        <f>TRUNC(D87*J87,1)</f>
        <v>19541.099999999999</v>
      </c>
      <c r="AC87" s="58"/>
      <c r="AD87" s="22" t="s">
        <v>962</v>
      </c>
    </row>
    <row r="88" spans="2:30" ht="19.7" customHeight="1" x14ac:dyDescent="0.2">
      <c r="B88" s="59" t="s">
        <v>85</v>
      </c>
      <c r="C88" s="24" t="s">
        <v>557</v>
      </c>
      <c r="D88" s="91">
        <v>38</v>
      </c>
      <c r="E88" s="89"/>
      <c r="F88" s="89"/>
      <c r="G88" s="89"/>
      <c r="H88" s="9" t="s">
        <v>210</v>
      </c>
      <c r="I88" s="9" t="s">
        <v>812</v>
      </c>
      <c r="J88" s="89">
        <f>AB87</f>
        <v>19541.099999999999</v>
      </c>
      <c r="K88" s="89"/>
      <c r="L88" s="89"/>
      <c r="M88" s="8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60">
        <f t="shared" si="2"/>
        <v>7425.6</v>
      </c>
      <c r="AA88" s="61"/>
      <c r="AB88" s="61">
        <f>TRUNC(D88/100*J88,1)</f>
        <v>7425.6</v>
      </c>
      <c r="AC88" s="61"/>
      <c r="AD88" s="26" t="s">
        <v>962</v>
      </c>
    </row>
    <row r="89" spans="2:30" ht="19.7" customHeight="1" x14ac:dyDescent="0.2">
      <c r="B89" s="57" t="s">
        <v>237</v>
      </c>
      <c r="C89" s="19" t="s">
        <v>962</v>
      </c>
      <c r="D89" s="92">
        <v>1</v>
      </c>
      <c r="E89" s="88"/>
      <c r="F89" s="88"/>
      <c r="G89" s="53" t="s">
        <v>889</v>
      </c>
      <c r="H89" s="53" t="s">
        <v>812</v>
      </c>
      <c r="I89" s="88">
        <f>노임단가!F23</f>
        <v>267360</v>
      </c>
      <c r="J89" s="88"/>
      <c r="K89" s="88"/>
      <c r="L89" s="88"/>
      <c r="M89" s="53" t="s">
        <v>812</v>
      </c>
      <c r="N89" s="88" t="s">
        <v>683</v>
      </c>
      <c r="O89" s="88"/>
      <c r="P89" s="88"/>
      <c r="Q89" s="88"/>
      <c r="R89" s="88"/>
      <c r="S89" s="88"/>
      <c r="T89" s="88"/>
      <c r="U89" s="88"/>
      <c r="V89" s="88"/>
      <c r="W89" s="53"/>
      <c r="X89" s="53"/>
      <c r="Y89" s="53"/>
      <c r="Z89" s="54">
        <f t="shared" si="2"/>
        <v>55699.9</v>
      </c>
      <c r="AA89" s="58">
        <f>TRUNC(D89*I89*기계경비적용기준!E21,1)</f>
        <v>55699.9</v>
      </c>
      <c r="AB89" s="58"/>
      <c r="AC89" s="58"/>
      <c r="AD89" s="22" t="s">
        <v>962</v>
      </c>
    </row>
    <row r="90" spans="2:30" ht="19.7" customHeight="1" x14ac:dyDescent="0.2">
      <c r="B90" s="57" t="s">
        <v>962</v>
      </c>
      <c r="C90" s="19" t="s">
        <v>962</v>
      </c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27"/>
      <c r="AA90" s="21"/>
      <c r="AB90" s="21"/>
      <c r="AC90" s="21"/>
      <c r="AD90" s="22" t="s">
        <v>962</v>
      </c>
    </row>
    <row r="91" spans="2:30" ht="19.7" customHeight="1" x14ac:dyDescent="0.2">
      <c r="B91" s="51" t="s">
        <v>88</v>
      </c>
      <c r="C91" s="52" t="s">
        <v>625</v>
      </c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4">
        <f t="shared" ref="Z91:Z96" si="3">AA91+AB91+AC91</f>
        <v>126594</v>
      </c>
      <c r="AA91" s="55">
        <f>TRUNC(AA92+AA93+AA94+AA95+AA96)</f>
        <v>55699</v>
      </c>
      <c r="AB91" s="55">
        <f>TRUNC(AB92+AB93+AB94+AB95+AB96)</f>
        <v>39008</v>
      </c>
      <c r="AC91" s="55">
        <f>TRUNC(AC92+AC93+AC94+AC95+AC96)</f>
        <v>31887</v>
      </c>
      <c r="AD91" s="56"/>
    </row>
    <row r="92" spans="2:30" ht="19.7" customHeight="1" x14ac:dyDescent="0.2">
      <c r="B92" s="57" t="s">
        <v>850</v>
      </c>
      <c r="C92" s="19" t="s">
        <v>625</v>
      </c>
      <c r="D92" s="88">
        <v>140899000</v>
      </c>
      <c r="E92" s="88"/>
      <c r="F92" s="88"/>
      <c r="G92" s="88"/>
      <c r="H92" s="88"/>
      <c r="I92" s="88" t="s">
        <v>195</v>
      </c>
      <c r="J92" s="88"/>
      <c r="K92" s="88">
        <v>2229</v>
      </c>
      <c r="L92" s="88"/>
      <c r="M92" s="88"/>
      <c r="N92" s="53" t="s">
        <v>812</v>
      </c>
      <c r="O92" s="88" t="s">
        <v>863</v>
      </c>
      <c r="P92" s="88"/>
      <c r="Q92" s="88"/>
      <c r="R92" s="53"/>
      <c r="S92" s="53"/>
      <c r="T92" s="53"/>
      <c r="U92" s="53"/>
      <c r="V92" s="53"/>
      <c r="W92" s="53"/>
      <c r="X92" s="53"/>
      <c r="Y92" s="53"/>
      <c r="Z92" s="54">
        <f t="shared" si="3"/>
        <v>31406.3</v>
      </c>
      <c r="AA92" s="58"/>
      <c r="AB92" s="58"/>
      <c r="AC92" s="58">
        <f>TRUNC(D92*K92*0.0000001,1)</f>
        <v>31406.3</v>
      </c>
      <c r="AD92" s="22" t="s">
        <v>936</v>
      </c>
    </row>
    <row r="93" spans="2:30" ht="19.7" customHeight="1" x14ac:dyDescent="0.2">
      <c r="B93" s="57" t="s">
        <v>41</v>
      </c>
      <c r="C93" s="19" t="s">
        <v>625</v>
      </c>
      <c r="D93" s="88">
        <v>1794000</v>
      </c>
      <c r="E93" s="88"/>
      <c r="F93" s="88"/>
      <c r="G93" s="88"/>
      <c r="H93" s="88"/>
      <c r="I93" s="88" t="s">
        <v>195</v>
      </c>
      <c r="J93" s="88"/>
      <c r="K93" s="88">
        <v>2684.0000000000005</v>
      </c>
      <c r="L93" s="88"/>
      <c r="M93" s="88"/>
      <c r="N93" s="53" t="s">
        <v>812</v>
      </c>
      <c r="O93" s="88" t="s">
        <v>863</v>
      </c>
      <c r="P93" s="88"/>
      <c r="Q93" s="88"/>
      <c r="R93" s="53"/>
      <c r="S93" s="53"/>
      <c r="T93" s="53"/>
      <c r="U93" s="53"/>
      <c r="V93" s="53"/>
      <c r="W93" s="53"/>
      <c r="X93" s="53"/>
      <c r="Y93" s="53"/>
      <c r="Z93" s="54">
        <f t="shared" si="3"/>
        <v>481.5</v>
      </c>
      <c r="AA93" s="58"/>
      <c r="AB93" s="58"/>
      <c r="AC93" s="58">
        <f>TRUNC(D93*K93*0.0000001,1)</f>
        <v>481.5</v>
      </c>
      <c r="AD93" s="22" t="s">
        <v>936</v>
      </c>
    </row>
    <row r="94" spans="2:30" ht="19.7" customHeight="1" x14ac:dyDescent="0.2">
      <c r="B94" s="57" t="s">
        <v>160</v>
      </c>
      <c r="C94" s="19" t="s">
        <v>962</v>
      </c>
      <c r="D94" s="90">
        <v>23</v>
      </c>
      <c r="E94" s="88"/>
      <c r="F94" s="88"/>
      <c r="G94" s="88"/>
      <c r="H94" s="53" t="s">
        <v>769</v>
      </c>
      <c r="I94" s="53" t="s">
        <v>812</v>
      </c>
      <c r="J94" s="88">
        <f>자재단가!R27</f>
        <v>1229</v>
      </c>
      <c r="K94" s="88"/>
      <c r="L94" s="88"/>
      <c r="M94" s="88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4">
        <f t="shared" si="3"/>
        <v>28267</v>
      </c>
      <c r="AA94" s="58"/>
      <c r="AB94" s="58">
        <f>TRUNC(D94*J94,1)</f>
        <v>28267</v>
      </c>
      <c r="AC94" s="58"/>
      <c r="AD94" s="22" t="s">
        <v>962</v>
      </c>
    </row>
    <row r="95" spans="2:30" ht="19.7" customHeight="1" x14ac:dyDescent="0.2">
      <c r="B95" s="57" t="s">
        <v>85</v>
      </c>
      <c r="C95" s="19" t="s">
        <v>557</v>
      </c>
      <c r="D95" s="90">
        <v>38</v>
      </c>
      <c r="E95" s="88"/>
      <c r="F95" s="88"/>
      <c r="G95" s="88"/>
      <c r="H95" s="53" t="s">
        <v>210</v>
      </c>
      <c r="I95" s="53" t="s">
        <v>812</v>
      </c>
      <c r="J95" s="88">
        <f>AB94</f>
        <v>28267</v>
      </c>
      <c r="K95" s="88"/>
      <c r="L95" s="88"/>
      <c r="M95" s="88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4">
        <f t="shared" si="3"/>
        <v>10741.4</v>
      </c>
      <c r="AA95" s="58"/>
      <c r="AB95" s="58">
        <f>TRUNC(D95/100*J95,1)</f>
        <v>10741.4</v>
      </c>
      <c r="AC95" s="58"/>
      <c r="AD95" s="22" t="s">
        <v>962</v>
      </c>
    </row>
    <row r="96" spans="2:30" ht="19.7" customHeight="1" x14ac:dyDescent="0.2">
      <c r="B96" s="57" t="s">
        <v>237</v>
      </c>
      <c r="C96" s="19" t="s">
        <v>962</v>
      </c>
      <c r="D96" s="92">
        <v>1</v>
      </c>
      <c r="E96" s="88"/>
      <c r="F96" s="88"/>
      <c r="G96" s="53" t="s">
        <v>889</v>
      </c>
      <c r="H96" s="53" t="s">
        <v>812</v>
      </c>
      <c r="I96" s="88">
        <f>노임단가!F23</f>
        <v>267360</v>
      </c>
      <c r="J96" s="88"/>
      <c r="K96" s="88"/>
      <c r="L96" s="88"/>
      <c r="M96" s="53" t="s">
        <v>812</v>
      </c>
      <c r="N96" s="88" t="s">
        <v>683</v>
      </c>
      <c r="O96" s="88"/>
      <c r="P96" s="88"/>
      <c r="Q96" s="88"/>
      <c r="R96" s="88"/>
      <c r="S96" s="88"/>
      <c r="T96" s="88"/>
      <c r="U96" s="88"/>
      <c r="V96" s="88"/>
      <c r="W96" s="53"/>
      <c r="X96" s="53"/>
      <c r="Y96" s="53"/>
      <c r="Z96" s="54">
        <f t="shared" si="3"/>
        <v>55699.9</v>
      </c>
      <c r="AA96" s="58">
        <f>TRUNC(D96*I96*기계경비적용기준!E21,1)</f>
        <v>55699.9</v>
      </c>
      <c r="AB96" s="58"/>
      <c r="AC96" s="58"/>
      <c r="AD96" s="22" t="s">
        <v>962</v>
      </c>
    </row>
    <row r="97" spans="2:30" ht="19.7" customHeight="1" x14ac:dyDescent="0.2">
      <c r="B97" s="57" t="s">
        <v>962</v>
      </c>
      <c r="C97" s="19" t="s">
        <v>962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27"/>
      <c r="AA97" s="21"/>
      <c r="AB97" s="21"/>
      <c r="AC97" s="21"/>
      <c r="AD97" s="22" t="s">
        <v>962</v>
      </c>
    </row>
    <row r="98" spans="2:30" ht="19.7" customHeight="1" x14ac:dyDescent="0.2">
      <c r="B98" s="51" t="s">
        <v>250</v>
      </c>
      <c r="C98" s="52" t="s">
        <v>787</v>
      </c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4">
        <f>AA98+AB98+AC98</f>
        <v>81288</v>
      </c>
      <c r="AA98" s="55">
        <f>TRUNC(AA99+AA100+AA101+AA102)</f>
        <v>55699</v>
      </c>
      <c r="AB98" s="55">
        <f>TRUNC(AB99+AB100+AB101+AB102)</f>
        <v>13487</v>
      </c>
      <c r="AC98" s="55">
        <f>TRUNC(AC99+AC100+AC101+AC102)</f>
        <v>12102</v>
      </c>
      <c r="AD98" s="56"/>
    </row>
    <row r="99" spans="2:30" ht="19.7" customHeight="1" x14ac:dyDescent="0.2">
      <c r="B99" s="57" t="s">
        <v>475</v>
      </c>
      <c r="C99" s="19" t="s">
        <v>787</v>
      </c>
      <c r="D99" s="88">
        <v>67161000</v>
      </c>
      <c r="E99" s="88"/>
      <c r="F99" s="88"/>
      <c r="G99" s="88"/>
      <c r="H99" s="88"/>
      <c r="I99" s="88" t="s">
        <v>195</v>
      </c>
      <c r="J99" s="88"/>
      <c r="K99" s="88">
        <v>1802</v>
      </c>
      <c r="L99" s="88"/>
      <c r="M99" s="88"/>
      <c r="N99" s="53" t="s">
        <v>812</v>
      </c>
      <c r="O99" s="88" t="s">
        <v>863</v>
      </c>
      <c r="P99" s="88"/>
      <c r="Q99" s="88"/>
      <c r="R99" s="53"/>
      <c r="S99" s="53"/>
      <c r="T99" s="53"/>
      <c r="U99" s="53"/>
      <c r="V99" s="53"/>
      <c r="W99" s="53"/>
      <c r="X99" s="53"/>
      <c r="Y99" s="53"/>
      <c r="Z99" s="54">
        <f>AA99+AB99+AC99</f>
        <v>12102.4</v>
      </c>
      <c r="AA99" s="58"/>
      <c r="AB99" s="58"/>
      <c r="AC99" s="58">
        <f>TRUNC(D99*K99*0.0000001,1)</f>
        <v>12102.4</v>
      </c>
      <c r="AD99" s="22" t="s">
        <v>936</v>
      </c>
    </row>
    <row r="100" spans="2:30" ht="19.7" customHeight="1" x14ac:dyDescent="0.2">
      <c r="B100" s="57" t="s">
        <v>160</v>
      </c>
      <c r="C100" s="19" t="s">
        <v>962</v>
      </c>
      <c r="D100" s="90">
        <v>9.3000000000000007</v>
      </c>
      <c r="E100" s="88"/>
      <c r="F100" s="88"/>
      <c r="G100" s="88"/>
      <c r="H100" s="53" t="s">
        <v>769</v>
      </c>
      <c r="I100" s="53" t="s">
        <v>812</v>
      </c>
      <c r="J100" s="88">
        <f>자재단가!R27</f>
        <v>1229</v>
      </c>
      <c r="K100" s="88"/>
      <c r="L100" s="88"/>
      <c r="M100" s="88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4">
        <f>AA100+AB100+AC100</f>
        <v>11429.7</v>
      </c>
      <c r="AA100" s="58"/>
      <c r="AB100" s="58">
        <f>TRUNC(D100*J100,1)</f>
        <v>11429.7</v>
      </c>
      <c r="AC100" s="58"/>
      <c r="AD100" s="22" t="s">
        <v>962</v>
      </c>
    </row>
    <row r="101" spans="2:30" ht="19.7" customHeight="1" x14ac:dyDescent="0.2">
      <c r="B101" s="57" t="s">
        <v>85</v>
      </c>
      <c r="C101" s="19" t="s">
        <v>557</v>
      </c>
      <c r="D101" s="90">
        <v>18</v>
      </c>
      <c r="E101" s="88"/>
      <c r="F101" s="88"/>
      <c r="G101" s="88"/>
      <c r="H101" s="53" t="s">
        <v>210</v>
      </c>
      <c r="I101" s="53" t="s">
        <v>812</v>
      </c>
      <c r="J101" s="88">
        <f>AB100</f>
        <v>11429.7</v>
      </c>
      <c r="K101" s="88"/>
      <c r="L101" s="88"/>
      <c r="M101" s="88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4">
        <f>AA101+AB101+AC101</f>
        <v>2057.3000000000002</v>
      </c>
      <c r="AA101" s="58"/>
      <c r="AB101" s="58">
        <f>TRUNC(D101/100*J101,1)</f>
        <v>2057.3000000000002</v>
      </c>
      <c r="AC101" s="58"/>
      <c r="AD101" s="22" t="s">
        <v>962</v>
      </c>
    </row>
    <row r="102" spans="2:30" ht="19.7" customHeight="1" x14ac:dyDescent="0.2">
      <c r="B102" s="57" t="s">
        <v>237</v>
      </c>
      <c r="C102" s="19" t="s">
        <v>962</v>
      </c>
      <c r="D102" s="92">
        <v>1</v>
      </c>
      <c r="E102" s="88"/>
      <c r="F102" s="88"/>
      <c r="G102" s="53" t="s">
        <v>889</v>
      </c>
      <c r="H102" s="53" t="s">
        <v>812</v>
      </c>
      <c r="I102" s="88">
        <f>노임단가!F23</f>
        <v>267360</v>
      </c>
      <c r="J102" s="88"/>
      <c r="K102" s="88"/>
      <c r="L102" s="88"/>
      <c r="M102" s="53" t="s">
        <v>812</v>
      </c>
      <c r="N102" s="88" t="s">
        <v>683</v>
      </c>
      <c r="O102" s="88"/>
      <c r="P102" s="88"/>
      <c r="Q102" s="88"/>
      <c r="R102" s="88"/>
      <c r="S102" s="88"/>
      <c r="T102" s="88"/>
      <c r="U102" s="88"/>
      <c r="V102" s="88"/>
      <c r="W102" s="53"/>
      <c r="X102" s="53"/>
      <c r="Y102" s="53"/>
      <c r="Z102" s="54">
        <f>AA102+AB102+AC102</f>
        <v>55699.9</v>
      </c>
      <c r="AA102" s="58">
        <f>TRUNC(D102*I102*기계경비적용기준!E21,1)</f>
        <v>55699.9</v>
      </c>
      <c r="AB102" s="58"/>
      <c r="AC102" s="58"/>
      <c r="AD102" s="22" t="s">
        <v>962</v>
      </c>
    </row>
    <row r="103" spans="2:30" ht="19.7" customHeight="1" x14ac:dyDescent="0.2">
      <c r="B103" s="57" t="s">
        <v>962</v>
      </c>
      <c r="C103" s="19" t="s">
        <v>962</v>
      </c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27"/>
      <c r="AA103" s="21"/>
      <c r="AB103" s="21"/>
      <c r="AC103" s="21"/>
      <c r="AD103" s="22" t="s">
        <v>962</v>
      </c>
    </row>
    <row r="104" spans="2:30" ht="19.7" customHeight="1" x14ac:dyDescent="0.2">
      <c r="B104" s="51" t="s">
        <v>277</v>
      </c>
      <c r="C104" s="52" t="s">
        <v>933</v>
      </c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4">
        <f>AA104+AB104+AC104</f>
        <v>71475</v>
      </c>
      <c r="AA104" s="55">
        <f>TRUNC(AA105+AA106+AA107+AA108)</f>
        <v>55699</v>
      </c>
      <c r="AB104" s="55">
        <f>TRUNC(AB105+AB106+AB107+AB108)</f>
        <v>7251</v>
      </c>
      <c r="AC104" s="55">
        <f>TRUNC(AC105+AC106+AC107+AC108)</f>
        <v>8525</v>
      </c>
      <c r="AD104" s="56"/>
    </row>
    <row r="105" spans="2:30" ht="19.7" customHeight="1" x14ac:dyDescent="0.2">
      <c r="B105" s="57" t="s">
        <v>218</v>
      </c>
      <c r="C105" s="19" t="s">
        <v>933</v>
      </c>
      <c r="D105" s="88">
        <v>45760000</v>
      </c>
      <c r="E105" s="88"/>
      <c r="F105" s="88"/>
      <c r="G105" s="88"/>
      <c r="H105" s="88"/>
      <c r="I105" s="88" t="s">
        <v>195</v>
      </c>
      <c r="J105" s="88"/>
      <c r="K105" s="88">
        <v>1863</v>
      </c>
      <c r="L105" s="88"/>
      <c r="M105" s="88"/>
      <c r="N105" s="53" t="s">
        <v>812</v>
      </c>
      <c r="O105" s="88" t="s">
        <v>863</v>
      </c>
      <c r="P105" s="88"/>
      <c r="Q105" s="88"/>
      <c r="R105" s="53"/>
      <c r="S105" s="53"/>
      <c r="T105" s="53"/>
      <c r="U105" s="53"/>
      <c r="V105" s="53"/>
      <c r="W105" s="53"/>
      <c r="X105" s="53"/>
      <c r="Y105" s="53"/>
      <c r="Z105" s="54">
        <f>AA105+AB105+AC105</f>
        <v>8525</v>
      </c>
      <c r="AA105" s="58"/>
      <c r="AB105" s="58"/>
      <c r="AC105" s="58">
        <f>TRUNC(D105*K105*0.0000001,1)</f>
        <v>8525</v>
      </c>
      <c r="AD105" s="22" t="s">
        <v>936</v>
      </c>
    </row>
    <row r="106" spans="2:30" ht="19.7" customHeight="1" x14ac:dyDescent="0.2">
      <c r="B106" s="57" t="s">
        <v>160</v>
      </c>
      <c r="C106" s="19" t="s">
        <v>962</v>
      </c>
      <c r="D106" s="90">
        <v>5</v>
      </c>
      <c r="E106" s="88"/>
      <c r="F106" s="88"/>
      <c r="G106" s="88"/>
      <c r="H106" s="53" t="s">
        <v>769</v>
      </c>
      <c r="I106" s="53" t="s">
        <v>812</v>
      </c>
      <c r="J106" s="88">
        <f>자재단가!R27</f>
        <v>1229</v>
      </c>
      <c r="K106" s="88"/>
      <c r="L106" s="88"/>
      <c r="M106" s="88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4">
        <f>AA106+AB106+AC106</f>
        <v>6145</v>
      </c>
      <c r="AA106" s="58"/>
      <c r="AB106" s="58">
        <f>TRUNC(D106*J106,1)</f>
        <v>6145</v>
      </c>
      <c r="AC106" s="58"/>
      <c r="AD106" s="22" t="s">
        <v>962</v>
      </c>
    </row>
    <row r="107" spans="2:30" ht="19.7" customHeight="1" x14ac:dyDescent="0.2">
      <c r="B107" s="57" t="s">
        <v>85</v>
      </c>
      <c r="C107" s="19" t="s">
        <v>557</v>
      </c>
      <c r="D107" s="90">
        <v>18</v>
      </c>
      <c r="E107" s="88"/>
      <c r="F107" s="88"/>
      <c r="G107" s="88"/>
      <c r="H107" s="53" t="s">
        <v>210</v>
      </c>
      <c r="I107" s="53" t="s">
        <v>812</v>
      </c>
      <c r="J107" s="88">
        <f>AB106</f>
        <v>6145</v>
      </c>
      <c r="K107" s="88"/>
      <c r="L107" s="88"/>
      <c r="M107" s="88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4">
        <f>AA107+AB107+AC107</f>
        <v>1106.0999999999999</v>
      </c>
      <c r="AA107" s="58"/>
      <c r="AB107" s="58">
        <f>TRUNC(D107/100*J107,1)</f>
        <v>1106.0999999999999</v>
      </c>
      <c r="AC107" s="58"/>
      <c r="AD107" s="22" t="s">
        <v>962</v>
      </c>
    </row>
    <row r="108" spans="2:30" ht="19.7" customHeight="1" x14ac:dyDescent="0.2">
      <c r="B108" s="57" t="s">
        <v>237</v>
      </c>
      <c r="C108" s="19" t="s">
        <v>962</v>
      </c>
      <c r="D108" s="92">
        <v>1</v>
      </c>
      <c r="E108" s="88"/>
      <c r="F108" s="88"/>
      <c r="G108" s="53" t="s">
        <v>889</v>
      </c>
      <c r="H108" s="53" t="s">
        <v>812</v>
      </c>
      <c r="I108" s="88">
        <f>노임단가!F23</f>
        <v>267360</v>
      </c>
      <c r="J108" s="88"/>
      <c r="K108" s="88"/>
      <c r="L108" s="88"/>
      <c r="M108" s="53" t="s">
        <v>812</v>
      </c>
      <c r="N108" s="88" t="s">
        <v>683</v>
      </c>
      <c r="O108" s="88"/>
      <c r="P108" s="88"/>
      <c r="Q108" s="88"/>
      <c r="R108" s="88"/>
      <c r="S108" s="88"/>
      <c r="T108" s="88"/>
      <c r="U108" s="88"/>
      <c r="V108" s="88"/>
      <c r="W108" s="53"/>
      <c r="X108" s="53"/>
      <c r="Y108" s="53"/>
      <c r="Z108" s="54">
        <f>AA108+AB108+AC108</f>
        <v>55699.9</v>
      </c>
      <c r="AA108" s="58">
        <f>TRUNC(D108*I108*기계경비적용기준!E21,1)</f>
        <v>55699.9</v>
      </c>
      <c r="AB108" s="58"/>
      <c r="AC108" s="58"/>
      <c r="AD108" s="22" t="s">
        <v>962</v>
      </c>
    </row>
    <row r="109" spans="2:30" ht="19.7" customHeight="1" x14ac:dyDescent="0.2">
      <c r="B109" s="57" t="s">
        <v>962</v>
      </c>
      <c r="C109" s="19" t="s">
        <v>962</v>
      </c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27"/>
      <c r="AA109" s="21"/>
      <c r="AB109" s="21"/>
      <c r="AC109" s="21"/>
      <c r="AD109" s="22" t="s">
        <v>962</v>
      </c>
    </row>
    <row r="110" spans="2:30" ht="19.7" customHeight="1" x14ac:dyDescent="0.2">
      <c r="B110" s="51" t="s">
        <v>368</v>
      </c>
      <c r="C110" s="52" t="s">
        <v>808</v>
      </c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4">
        <f>AA110+AB110+AC110</f>
        <v>38472</v>
      </c>
      <c r="AA110" s="55">
        <f>TRUNC(AA111+AA112+AA113+AA114)</f>
        <v>33571</v>
      </c>
      <c r="AB110" s="55">
        <f>TRUNC(AB111+AB112+AB113+AB114)</f>
        <v>3055</v>
      </c>
      <c r="AC110" s="55">
        <f>TRUNC(AC111+AC112+AC113+AC114)</f>
        <v>1846</v>
      </c>
      <c r="AD110" s="56"/>
    </row>
    <row r="111" spans="2:30" ht="19.7" customHeight="1" x14ac:dyDescent="0.2">
      <c r="B111" s="57" t="s">
        <v>534</v>
      </c>
      <c r="C111" s="19" t="s">
        <v>808</v>
      </c>
      <c r="D111" s="88">
        <v>6537000</v>
      </c>
      <c r="E111" s="88"/>
      <c r="F111" s="88"/>
      <c r="G111" s="88"/>
      <c r="H111" s="88"/>
      <c r="I111" s="88" t="s">
        <v>195</v>
      </c>
      <c r="J111" s="88"/>
      <c r="K111" s="88">
        <v>2824.9999999999995</v>
      </c>
      <c r="L111" s="88"/>
      <c r="M111" s="88"/>
      <c r="N111" s="53" t="s">
        <v>812</v>
      </c>
      <c r="O111" s="88" t="s">
        <v>863</v>
      </c>
      <c r="P111" s="88"/>
      <c r="Q111" s="88"/>
      <c r="R111" s="53"/>
      <c r="S111" s="53"/>
      <c r="T111" s="53"/>
      <c r="U111" s="53"/>
      <c r="V111" s="53"/>
      <c r="W111" s="53"/>
      <c r="X111" s="53"/>
      <c r="Y111" s="53"/>
      <c r="Z111" s="54">
        <f>AA111+AB111+AC111</f>
        <v>1846.7</v>
      </c>
      <c r="AA111" s="58"/>
      <c r="AB111" s="58"/>
      <c r="AC111" s="58">
        <f>TRUNC(D111*K111*0.0000001,1)</f>
        <v>1846.7</v>
      </c>
      <c r="AD111" s="22" t="s">
        <v>936</v>
      </c>
    </row>
    <row r="112" spans="2:30" ht="19.7" customHeight="1" x14ac:dyDescent="0.2">
      <c r="B112" s="57" t="s">
        <v>160</v>
      </c>
      <c r="C112" s="19" t="s">
        <v>962</v>
      </c>
      <c r="D112" s="90">
        <v>2.2000000000000002</v>
      </c>
      <c r="E112" s="88"/>
      <c r="F112" s="88"/>
      <c r="G112" s="88"/>
      <c r="H112" s="53" t="s">
        <v>769</v>
      </c>
      <c r="I112" s="53" t="s">
        <v>812</v>
      </c>
      <c r="J112" s="88">
        <f>자재단가!R27</f>
        <v>1229</v>
      </c>
      <c r="K112" s="88"/>
      <c r="L112" s="88"/>
      <c r="M112" s="88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4">
        <f>AA112+AB112+AC112</f>
        <v>2703.8</v>
      </c>
      <c r="AA112" s="58"/>
      <c r="AB112" s="58">
        <f>TRUNC(D112*J112,1)</f>
        <v>2703.8</v>
      </c>
      <c r="AC112" s="58"/>
      <c r="AD112" s="22" t="s">
        <v>962</v>
      </c>
    </row>
    <row r="113" spans="2:30" ht="19.7" customHeight="1" x14ac:dyDescent="0.2">
      <c r="B113" s="57" t="s">
        <v>85</v>
      </c>
      <c r="C113" s="19" t="s">
        <v>557</v>
      </c>
      <c r="D113" s="90">
        <v>13</v>
      </c>
      <c r="E113" s="88"/>
      <c r="F113" s="88"/>
      <c r="G113" s="88"/>
      <c r="H113" s="53" t="s">
        <v>210</v>
      </c>
      <c r="I113" s="53" t="s">
        <v>812</v>
      </c>
      <c r="J113" s="88">
        <f>AB112</f>
        <v>2703.8</v>
      </c>
      <c r="K113" s="88"/>
      <c r="L113" s="88"/>
      <c r="M113" s="88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4">
        <f>AA113+AB113+AC113</f>
        <v>351.4</v>
      </c>
      <c r="AA113" s="58"/>
      <c r="AB113" s="58">
        <f>TRUNC(D113/100*J113,1)</f>
        <v>351.4</v>
      </c>
      <c r="AC113" s="58"/>
      <c r="AD113" s="22" t="s">
        <v>962</v>
      </c>
    </row>
    <row r="114" spans="2:30" ht="19.7" customHeight="1" x14ac:dyDescent="0.2">
      <c r="B114" s="57" t="s">
        <v>493</v>
      </c>
      <c r="C114" s="19" t="s">
        <v>962</v>
      </c>
      <c r="D114" s="92">
        <v>1</v>
      </c>
      <c r="E114" s="88"/>
      <c r="F114" s="88"/>
      <c r="G114" s="53" t="s">
        <v>889</v>
      </c>
      <c r="H114" s="53" t="s">
        <v>812</v>
      </c>
      <c r="I114" s="88">
        <f>노임단가!F25</f>
        <v>161142</v>
      </c>
      <c r="J114" s="88"/>
      <c r="K114" s="88"/>
      <c r="L114" s="88"/>
      <c r="M114" s="53" t="s">
        <v>812</v>
      </c>
      <c r="N114" s="88" t="s">
        <v>683</v>
      </c>
      <c r="O114" s="88"/>
      <c r="P114" s="88"/>
      <c r="Q114" s="88"/>
      <c r="R114" s="88"/>
      <c r="S114" s="88"/>
      <c r="T114" s="88"/>
      <c r="U114" s="88"/>
      <c r="V114" s="88"/>
      <c r="W114" s="53"/>
      <c r="X114" s="53"/>
      <c r="Y114" s="53"/>
      <c r="Z114" s="54">
        <f>AA114+AB114+AC114</f>
        <v>33571.199999999997</v>
      </c>
      <c r="AA114" s="58">
        <f>TRUNC(D114*I114*기계경비적용기준!E21,1)</f>
        <v>33571.199999999997</v>
      </c>
      <c r="AB114" s="58"/>
      <c r="AC114" s="58"/>
      <c r="AD114" s="22" t="s">
        <v>962</v>
      </c>
    </row>
    <row r="115" spans="2:30" ht="19.7" customHeight="1" x14ac:dyDescent="0.2">
      <c r="B115" s="57" t="s">
        <v>962</v>
      </c>
      <c r="C115" s="19" t="s">
        <v>962</v>
      </c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27"/>
      <c r="AA115" s="21"/>
      <c r="AB115" s="21"/>
      <c r="AC115" s="21"/>
      <c r="AD115" s="22" t="s">
        <v>962</v>
      </c>
    </row>
    <row r="116" spans="2:30" ht="19.7" customHeight="1" x14ac:dyDescent="0.2">
      <c r="B116" s="62" t="s">
        <v>359</v>
      </c>
      <c r="C116" s="63" t="s">
        <v>939</v>
      </c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60">
        <f>AA116+AB116+AC116</f>
        <v>85721</v>
      </c>
      <c r="AA116" s="64">
        <f>TRUNC(AA117+AA118+AA119+AA120)</f>
        <v>55699</v>
      </c>
      <c r="AB116" s="64">
        <f>TRUNC(AB117+AB118+AB119+AB120)</f>
        <v>12093</v>
      </c>
      <c r="AC116" s="64">
        <f>TRUNC(AC117+AC118+AC119+AC120)</f>
        <v>17929</v>
      </c>
      <c r="AD116" s="12"/>
    </row>
    <row r="117" spans="2:30" ht="19.7" customHeight="1" x14ac:dyDescent="0.2">
      <c r="B117" s="57" t="s">
        <v>104</v>
      </c>
      <c r="C117" s="19" t="s">
        <v>939</v>
      </c>
      <c r="D117" s="88">
        <v>92182000</v>
      </c>
      <c r="E117" s="88"/>
      <c r="F117" s="88"/>
      <c r="G117" s="88"/>
      <c r="H117" s="88"/>
      <c r="I117" s="88" t="s">
        <v>195</v>
      </c>
      <c r="J117" s="88"/>
      <c r="K117" s="88">
        <v>1945</v>
      </c>
      <c r="L117" s="88"/>
      <c r="M117" s="88"/>
      <c r="N117" s="53" t="s">
        <v>812</v>
      </c>
      <c r="O117" s="88" t="s">
        <v>863</v>
      </c>
      <c r="P117" s="88"/>
      <c r="Q117" s="88"/>
      <c r="R117" s="53"/>
      <c r="S117" s="53"/>
      <c r="T117" s="53"/>
      <c r="U117" s="53"/>
      <c r="V117" s="53"/>
      <c r="W117" s="53"/>
      <c r="X117" s="53"/>
      <c r="Y117" s="53"/>
      <c r="Z117" s="54">
        <f>AA117+AB117+AC117</f>
        <v>17929.3</v>
      </c>
      <c r="AA117" s="58"/>
      <c r="AB117" s="58"/>
      <c r="AC117" s="58">
        <f>TRUNC(D117*K117*0.0000001,1)</f>
        <v>17929.3</v>
      </c>
      <c r="AD117" s="22" t="s">
        <v>936</v>
      </c>
    </row>
    <row r="118" spans="2:30" ht="19.7" customHeight="1" x14ac:dyDescent="0.2">
      <c r="B118" s="57" t="s">
        <v>160</v>
      </c>
      <c r="C118" s="19" t="s">
        <v>962</v>
      </c>
      <c r="D118" s="90">
        <v>8</v>
      </c>
      <c r="E118" s="88"/>
      <c r="F118" s="88"/>
      <c r="G118" s="88"/>
      <c r="H118" s="53" t="s">
        <v>769</v>
      </c>
      <c r="I118" s="53" t="s">
        <v>812</v>
      </c>
      <c r="J118" s="88">
        <f>자재단가!R27</f>
        <v>1229</v>
      </c>
      <c r="K118" s="88"/>
      <c r="L118" s="88"/>
      <c r="M118" s="88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4">
        <f>AA118+AB118+AC118</f>
        <v>9832</v>
      </c>
      <c r="AA118" s="58"/>
      <c r="AB118" s="58">
        <f>TRUNC(D118*J118,1)</f>
        <v>9832</v>
      </c>
      <c r="AC118" s="58"/>
      <c r="AD118" s="22" t="s">
        <v>962</v>
      </c>
    </row>
    <row r="119" spans="2:30" ht="19.7" customHeight="1" x14ac:dyDescent="0.2">
      <c r="B119" s="57" t="s">
        <v>85</v>
      </c>
      <c r="C119" s="19" t="s">
        <v>557</v>
      </c>
      <c r="D119" s="90">
        <v>23</v>
      </c>
      <c r="E119" s="88"/>
      <c r="F119" s="88"/>
      <c r="G119" s="88"/>
      <c r="H119" s="53" t="s">
        <v>210</v>
      </c>
      <c r="I119" s="53" t="s">
        <v>812</v>
      </c>
      <c r="J119" s="88">
        <f>AB118</f>
        <v>9832</v>
      </c>
      <c r="K119" s="88"/>
      <c r="L119" s="88"/>
      <c r="M119" s="88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4">
        <f>AA119+AB119+AC119</f>
        <v>2261.3000000000002</v>
      </c>
      <c r="AA119" s="58"/>
      <c r="AB119" s="58">
        <f>TRUNC(D119/100*J119,1)</f>
        <v>2261.3000000000002</v>
      </c>
      <c r="AC119" s="58"/>
      <c r="AD119" s="22" t="s">
        <v>962</v>
      </c>
    </row>
    <row r="120" spans="2:30" ht="19.7" customHeight="1" x14ac:dyDescent="0.2">
      <c r="B120" s="57" t="s">
        <v>237</v>
      </c>
      <c r="C120" s="19" t="s">
        <v>962</v>
      </c>
      <c r="D120" s="92">
        <v>1</v>
      </c>
      <c r="E120" s="88"/>
      <c r="F120" s="88"/>
      <c r="G120" s="53" t="s">
        <v>889</v>
      </c>
      <c r="H120" s="53" t="s">
        <v>812</v>
      </c>
      <c r="I120" s="88">
        <f>노임단가!F23</f>
        <v>267360</v>
      </c>
      <c r="J120" s="88"/>
      <c r="K120" s="88"/>
      <c r="L120" s="88"/>
      <c r="M120" s="53" t="s">
        <v>812</v>
      </c>
      <c r="N120" s="88" t="s">
        <v>683</v>
      </c>
      <c r="O120" s="88"/>
      <c r="P120" s="88"/>
      <c r="Q120" s="88"/>
      <c r="R120" s="88"/>
      <c r="S120" s="88"/>
      <c r="T120" s="88"/>
      <c r="U120" s="88"/>
      <c r="V120" s="88"/>
      <c r="W120" s="53"/>
      <c r="X120" s="53"/>
      <c r="Y120" s="53"/>
      <c r="Z120" s="54">
        <f>AA120+AB120+AC120</f>
        <v>55699.9</v>
      </c>
      <c r="AA120" s="58">
        <f>TRUNC(D120*I120*기계경비적용기준!E21,1)</f>
        <v>55699.9</v>
      </c>
      <c r="AB120" s="58"/>
      <c r="AC120" s="58"/>
      <c r="AD120" s="22" t="s">
        <v>962</v>
      </c>
    </row>
    <row r="121" spans="2:30" ht="19.7" customHeight="1" x14ac:dyDescent="0.2">
      <c r="B121" s="57" t="s">
        <v>962</v>
      </c>
      <c r="C121" s="19" t="s">
        <v>962</v>
      </c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27"/>
      <c r="AA121" s="21"/>
      <c r="AB121" s="21"/>
      <c r="AC121" s="21"/>
      <c r="AD121" s="22" t="s">
        <v>962</v>
      </c>
    </row>
    <row r="122" spans="2:30" ht="19.7" customHeight="1" x14ac:dyDescent="0.2">
      <c r="B122" s="51" t="s">
        <v>835</v>
      </c>
      <c r="C122" s="52" t="s">
        <v>630</v>
      </c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4">
        <f>AA122+AB122+AC122</f>
        <v>35159</v>
      </c>
      <c r="AA122" s="55">
        <f>TRUNC(AA123+AA124+AA125+AA126)</f>
        <v>33571</v>
      </c>
      <c r="AB122" s="55">
        <f>TRUNC(AB123+AB124+AB125+AB126)</f>
        <v>1095</v>
      </c>
      <c r="AC122" s="55">
        <f>TRUNC(AC123+AC124+AC125+AC126)</f>
        <v>493</v>
      </c>
      <c r="AD122" s="56"/>
    </row>
    <row r="123" spans="2:30" ht="19.7" customHeight="1" x14ac:dyDescent="0.2">
      <c r="B123" s="57" t="s">
        <v>629</v>
      </c>
      <c r="C123" s="19" t="s">
        <v>630</v>
      </c>
      <c r="D123" s="88">
        <v>1330000</v>
      </c>
      <c r="E123" s="88"/>
      <c r="F123" s="88"/>
      <c r="G123" s="88"/>
      <c r="H123" s="88"/>
      <c r="I123" s="88" t="s">
        <v>195</v>
      </c>
      <c r="J123" s="88"/>
      <c r="K123" s="88">
        <v>3708</v>
      </c>
      <c r="L123" s="88"/>
      <c r="M123" s="88"/>
      <c r="N123" s="53" t="s">
        <v>812</v>
      </c>
      <c r="O123" s="88" t="s">
        <v>863</v>
      </c>
      <c r="P123" s="88"/>
      <c r="Q123" s="88"/>
      <c r="R123" s="53"/>
      <c r="S123" s="53"/>
      <c r="T123" s="53"/>
      <c r="U123" s="53"/>
      <c r="V123" s="53"/>
      <c r="W123" s="53"/>
      <c r="X123" s="53"/>
      <c r="Y123" s="53"/>
      <c r="Z123" s="54">
        <f>AA123+AB123+AC123</f>
        <v>493.1</v>
      </c>
      <c r="AA123" s="58"/>
      <c r="AB123" s="58"/>
      <c r="AC123" s="58">
        <f>TRUNC(D123*K123*0.0000001,1)</f>
        <v>493.1</v>
      </c>
      <c r="AD123" s="22" t="s">
        <v>936</v>
      </c>
    </row>
    <row r="124" spans="2:30" ht="19.7" customHeight="1" x14ac:dyDescent="0.2">
      <c r="B124" s="57" t="s">
        <v>281</v>
      </c>
      <c r="C124" s="19" t="s">
        <v>962</v>
      </c>
      <c r="D124" s="90">
        <v>0.7</v>
      </c>
      <c r="E124" s="88"/>
      <c r="F124" s="88"/>
      <c r="G124" s="88"/>
      <c r="H124" s="53" t="s">
        <v>769</v>
      </c>
      <c r="I124" s="53" t="s">
        <v>812</v>
      </c>
      <c r="J124" s="88">
        <f>자재단가!R28</f>
        <v>1423</v>
      </c>
      <c r="K124" s="88"/>
      <c r="L124" s="88"/>
      <c r="M124" s="88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4">
        <f>AA124+AB124+AC124</f>
        <v>996.1</v>
      </c>
      <c r="AA124" s="58"/>
      <c r="AB124" s="58">
        <f>TRUNC(D124*J124,1)</f>
        <v>996.1</v>
      </c>
      <c r="AC124" s="58"/>
      <c r="AD124" s="22" t="s">
        <v>962</v>
      </c>
    </row>
    <row r="125" spans="2:30" ht="19.7" customHeight="1" x14ac:dyDescent="0.2">
      <c r="B125" s="57" t="s">
        <v>85</v>
      </c>
      <c r="C125" s="19" t="s">
        <v>557</v>
      </c>
      <c r="D125" s="90">
        <v>10</v>
      </c>
      <c r="E125" s="88"/>
      <c r="F125" s="88"/>
      <c r="G125" s="88"/>
      <c r="H125" s="53" t="s">
        <v>210</v>
      </c>
      <c r="I125" s="53" t="s">
        <v>812</v>
      </c>
      <c r="J125" s="88">
        <f>AB124</f>
        <v>996.1</v>
      </c>
      <c r="K125" s="88"/>
      <c r="L125" s="88"/>
      <c r="M125" s="88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4">
        <f>AA125+AB125+AC125</f>
        <v>99.6</v>
      </c>
      <c r="AA125" s="58"/>
      <c r="AB125" s="58">
        <f>TRUNC(D125/100*J125,1)</f>
        <v>99.6</v>
      </c>
      <c r="AC125" s="58"/>
      <c r="AD125" s="22" t="s">
        <v>962</v>
      </c>
    </row>
    <row r="126" spans="2:30" ht="19.7" customHeight="1" x14ac:dyDescent="0.2">
      <c r="B126" s="57" t="s">
        <v>493</v>
      </c>
      <c r="C126" s="19" t="s">
        <v>962</v>
      </c>
      <c r="D126" s="92">
        <v>1</v>
      </c>
      <c r="E126" s="88"/>
      <c r="F126" s="88"/>
      <c r="G126" s="53" t="s">
        <v>889</v>
      </c>
      <c r="H126" s="53" t="s">
        <v>812</v>
      </c>
      <c r="I126" s="88">
        <f>노임단가!F25</f>
        <v>161142</v>
      </c>
      <c r="J126" s="88"/>
      <c r="K126" s="88"/>
      <c r="L126" s="88"/>
      <c r="M126" s="53" t="s">
        <v>812</v>
      </c>
      <c r="N126" s="88" t="s">
        <v>683</v>
      </c>
      <c r="O126" s="88"/>
      <c r="P126" s="88"/>
      <c r="Q126" s="88"/>
      <c r="R126" s="88"/>
      <c r="S126" s="88"/>
      <c r="T126" s="88"/>
      <c r="U126" s="88"/>
      <c r="V126" s="88"/>
      <c r="W126" s="53"/>
      <c r="X126" s="53"/>
      <c r="Y126" s="53"/>
      <c r="Z126" s="54">
        <f>AA126+AB126+AC126</f>
        <v>33571.199999999997</v>
      </c>
      <c r="AA126" s="58">
        <f>TRUNC(D126*I126*기계경비적용기준!E21,1)</f>
        <v>33571.199999999997</v>
      </c>
      <c r="AB126" s="58"/>
      <c r="AC126" s="58"/>
      <c r="AD126" s="22" t="s">
        <v>962</v>
      </c>
    </row>
    <row r="127" spans="2:30" ht="19.7" customHeight="1" x14ac:dyDescent="0.2">
      <c r="B127" s="57" t="s">
        <v>962</v>
      </c>
      <c r="C127" s="19" t="s">
        <v>962</v>
      </c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27"/>
      <c r="AA127" s="21"/>
      <c r="AB127" s="21"/>
      <c r="AC127" s="21"/>
      <c r="AD127" s="22" t="s">
        <v>962</v>
      </c>
    </row>
    <row r="128" spans="2:30" ht="19.7" customHeight="1" x14ac:dyDescent="0.2">
      <c r="B128" s="51" t="s">
        <v>333</v>
      </c>
      <c r="C128" s="52" t="s">
        <v>934</v>
      </c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4">
        <f>AA128+AB128+AC128</f>
        <v>35860</v>
      </c>
      <c r="AA128" s="55">
        <f>TRUNC(AA129+AA130+AA131+AA132)</f>
        <v>33571</v>
      </c>
      <c r="AB128" s="55">
        <f>TRUNC(AB129+AB130+AB131+AB132)</f>
        <v>1707</v>
      </c>
      <c r="AC128" s="55">
        <f>TRUNC(AC129+AC130+AC131+AC132)</f>
        <v>582</v>
      </c>
      <c r="AD128" s="56"/>
    </row>
    <row r="129" spans="2:30" ht="19.7" customHeight="1" x14ac:dyDescent="0.2">
      <c r="B129" s="57" t="s">
        <v>25</v>
      </c>
      <c r="C129" s="19" t="s">
        <v>934</v>
      </c>
      <c r="D129" s="88">
        <v>1570000</v>
      </c>
      <c r="E129" s="88"/>
      <c r="F129" s="88"/>
      <c r="G129" s="88"/>
      <c r="H129" s="88"/>
      <c r="I129" s="88" t="s">
        <v>195</v>
      </c>
      <c r="J129" s="88"/>
      <c r="K129" s="88">
        <v>3708</v>
      </c>
      <c r="L129" s="88"/>
      <c r="M129" s="88"/>
      <c r="N129" s="53" t="s">
        <v>812</v>
      </c>
      <c r="O129" s="88" t="s">
        <v>863</v>
      </c>
      <c r="P129" s="88"/>
      <c r="Q129" s="88"/>
      <c r="R129" s="53"/>
      <c r="S129" s="53"/>
      <c r="T129" s="53"/>
      <c r="U129" s="53"/>
      <c r="V129" s="53"/>
      <c r="W129" s="53"/>
      <c r="X129" s="53"/>
      <c r="Y129" s="53"/>
      <c r="Z129" s="54">
        <f>AA129+AB129+AC129</f>
        <v>582.1</v>
      </c>
      <c r="AA129" s="58"/>
      <c r="AB129" s="58"/>
      <c r="AC129" s="58">
        <f>TRUNC(D129*K129*0.0000001,1)</f>
        <v>582.1</v>
      </c>
      <c r="AD129" s="22" t="s">
        <v>936</v>
      </c>
    </row>
    <row r="130" spans="2:30" ht="19.7" customHeight="1" x14ac:dyDescent="0.2">
      <c r="B130" s="57" t="s">
        <v>281</v>
      </c>
      <c r="C130" s="19" t="s">
        <v>962</v>
      </c>
      <c r="D130" s="90">
        <v>1</v>
      </c>
      <c r="E130" s="88"/>
      <c r="F130" s="88"/>
      <c r="G130" s="88"/>
      <c r="H130" s="53" t="s">
        <v>769</v>
      </c>
      <c r="I130" s="53" t="s">
        <v>812</v>
      </c>
      <c r="J130" s="88">
        <f>자재단가!R28</f>
        <v>1423</v>
      </c>
      <c r="K130" s="88"/>
      <c r="L130" s="88"/>
      <c r="M130" s="88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4">
        <f>AA130+AB130+AC130</f>
        <v>1423</v>
      </c>
      <c r="AA130" s="58"/>
      <c r="AB130" s="58">
        <f>TRUNC(D130*J130,1)</f>
        <v>1423</v>
      </c>
      <c r="AC130" s="58"/>
      <c r="AD130" s="22" t="s">
        <v>962</v>
      </c>
    </row>
    <row r="131" spans="2:30" ht="19.7" customHeight="1" x14ac:dyDescent="0.2">
      <c r="B131" s="57" t="s">
        <v>85</v>
      </c>
      <c r="C131" s="19" t="s">
        <v>557</v>
      </c>
      <c r="D131" s="90">
        <v>20</v>
      </c>
      <c r="E131" s="88"/>
      <c r="F131" s="88"/>
      <c r="G131" s="88"/>
      <c r="H131" s="53" t="s">
        <v>210</v>
      </c>
      <c r="I131" s="53" t="s">
        <v>812</v>
      </c>
      <c r="J131" s="88">
        <f>AB130</f>
        <v>1423</v>
      </c>
      <c r="K131" s="88"/>
      <c r="L131" s="88"/>
      <c r="M131" s="88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4">
        <f>AA131+AB131+AC131</f>
        <v>284.60000000000002</v>
      </c>
      <c r="AA131" s="58"/>
      <c r="AB131" s="58">
        <f>TRUNC(D131/100*J131,1)</f>
        <v>284.60000000000002</v>
      </c>
      <c r="AC131" s="58"/>
      <c r="AD131" s="22" t="s">
        <v>962</v>
      </c>
    </row>
    <row r="132" spans="2:30" ht="19.7" customHeight="1" x14ac:dyDescent="0.2">
      <c r="B132" s="57" t="s">
        <v>493</v>
      </c>
      <c r="C132" s="19" t="s">
        <v>962</v>
      </c>
      <c r="D132" s="92">
        <v>1</v>
      </c>
      <c r="E132" s="88"/>
      <c r="F132" s="88"/>
      <c r="G132" s="53" t="s">
        <v>889</v>
      </c>
      <c r="H132" s="53" t="s">
        <v>812</v>
      </c>
      <c r="I132" s="88">
        <f>노임단가!F25</f>
        <v>161142</v>
      </c>
      <c r="J132" s="88"/>
      <c r="K132" s="88"/>
      <c r="L132" s="88"/>
      <c r="M132" s="53" t="s">
        <v>812</v>
      </c>
      <c r="N132" s="88" t="s">
        <v>683</v>
      </c>
      <c r="O132" s="88"/>
      <c r="P132" s="88"/>
      <c r="Q132" s="88"/>
      <c r="R132" s="88"/>
      <c r="S132" s="88"/>
      <c r="T132" s="88"/>
      <c r="U132" s="88"/>
      <c r="V132" s="88"/>
      <c r="W132" s="53"/>
      <c r="X132" s="53"/>
      <c r="Y132" s="53"/>
      <c r="Z132" s="54">
        <f>AA132+AB132+AC132</f>
        <v>33571.199999999997</v>
      </c>
      <c r="AA132" s="58">
        <f>TRUNC(D132*I132*기계경비적용기준!E21,1)</f>
        <v>33571.199999999997</v>
      </c>
      <c r="AB132" s="58"/>
      <c r="AC132" s="58"/>
      <c r="AD132" s="22" t="s">
        <v>962</v>
      </c>
    </row>
    <row r="133" spans="2:30" ht="19.7" customHeight="1" x14ac:dyDescent="0.2">
      <c r="B133" s="57" t="s">
        <v>962</v>
      </c>
      <c r="C133" s="19" t="s">
        <v>962</v>
      </c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27"/>
      <c r="AA133" s="21"/>
      <c r="AB133" s="21"/>
      <c r="AC133" s="21"/>
      <c r="AD133" s="22" t="s">
        <v>962</v>
      </c>
    </row>
    <row r="134" spans="2:30" ht="19.7" customHeight="1" x14ac:dyDescent="0.2">
      <c r="B134" s="51" t="s">
        <v>316</v>
      </c>
      <c r="C134" s="52" t="s">
        <v>181</v>
      </c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4">
        <f>AA134+AB134+AC134</f>
        <v>92293</v>
      </c>
      <c r="AA134" s="55">
        <f>TRUNC(AA135+AA136+AA137+AA138)</f>
        <v>55699</v>
      </c>
      <c r="AB134" s="55">
        <f>TRUNC(AB135+AB136+AB137+AB138)</f>
        <v>6491</v>
      </c>
      <c r="AC134" s="55">
        <f>TRUNC(AC135+AC136+AC137+AC138)</f>
        <v>30103</v>
      </c>
      <c r="AD134" s="56"/>
    </row>
    <row r="135" spans="2:30" ht="19.7" customHeight="1" x14ac:dyDescent="0.2">
      <c r="B135" s="57" t="s">
        <v>32</v>
      </c>
      <c r="C135" s="19" t="s">
        <v>181</v>
      </c>
      <c r="D135" s="88">
        <v>131000000</v>
      </c>
      <c r="E135" s="88"/>
      <c r="F135" s="88"/>
      <c r="G135" s="88"/>
      <c r="H135" s="88"/>
      <c r="I135" s="88" t="s">
        <v>195</v>
      </c>
      <c r="J135" s="88"/>
      <c r="K135" s="88">
        <v>2298</v>
      </c>
      <c r="L135" s="88"/>
      <c r="M135" s="88"/>
      <c r="N135" s="53" t="s">
        <v>812</v>
      </c>
      <c r="O135" s="88" t="s">
        <v>863</v>
      </c>
      <c r="P135" s="88"/>
      <c r="Q135" s="88"/>
      <c r="R135" s="53"/>
      <c r="S135" s="53"/>
      <c r="T135" s="53"/>
      <c r="U135" s="53"/>
      <c r="V135" s="53"/>
      <c r="W135" s="53"/>
      <c r="X135" s="53"/>
      <c r="Y135" s="53"/>
      <c r="Z135" s="54">
        <f>AA135+AB135+AC135</f>
        <v>30103.8</v>
      </c>
      <c r="AA135" s="58"/>
      <c r="AB135" s="58"/>
      <c r="AC135" s="58">
        <f>TRUNC(D135*K135*0.0000001,1)</f>
        <v>30103.8</v>
      </c>
      <c r="AD135" s="22" t="s">
        <v>936</v>
      </c>
    </row>
    <row r="136" spans="2:30" ht="19.7" customHeight="1" x14ac:dyDescent="0.2">
      <c r="B136" s="57" t="s">
        <v>160</v>
      </c>
      <c r="C136" s="19" t="s">
        <v>962</v>
      </c>
      <c r="D136" s="90">
        <v>3.8</v>
      </c>
      <c r="E136" s="88"/>
      <c r="F136" s="88"/>
      <c r="G136" s="88"/>
      <c r="H136" s="53" t="s">
        <v>769</v>
      </c>
      <c r="I136" s="53" t="s">
        <v>812</v>
      </c>
      <c r="J136" s="88">
        <f>자재단가!R27</f>
        <v>1229</v>
      </c>
      <c r="K136" s="88"/>
      <c r="L136" s="88"/>
      <c r="M136" s="88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4">
        <f>AA136+AB136+AC136</f>
        <v>4670.2</v>
      </c>
      <c r="AA136" s="58"/>
      <c r="AB136" s="58">
        <f>TRUNC(D136*J136,1)</f>
        <v>4670.2</v>
      </c>
      <c r="AC136" s="58"/>
      <c r="AD136" s="22" t="s">
        <v>962</v>
      </c>
    </row>
    <row r="137" spans="2:30" ht="19.7" customHeight="1" x14ac:dyDescent="0.2">
      <c r="B137" s="57" t="s">
        <v>85</v>
      </c>
      <c r="C137" s="19" t="s">
        <v>557</v>
      </c>
      <c r="D137" s="90">
        <v>39</v>
      </c>
      <c r="E137" s="88"/>
      <c r="F137" s="88"/>
      <c r="G137" s="88"/>
      <c r="H137" s="53" t="s">
        <v>210</v>
      </c>
      <c r="I137" s="53" t="s">
        <v>812</v>
      </c>
      <c r="J137" s="88">
        <f>AB136</f>
        <v>4670.2</v>
      </c>
      <c r="K137" s="88"/>
      <c r="L137" s="88"/>
      <c r="M137" s="88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4">
        <f>AA137+AB137+AC137</f>
        <v>1821.3</v>
      </c>
      <c r="AA137" s="58"/>
      <c r="AB137" s="58">
        <f>TRUNC(D137/100*J137,1)</f>
        <v>1821.3</v>
      </c>
      <c r="AC137" s="58"/>
      <c r="AD137" s="22" t="s">
        <v>962</v>
      </c>
    </row>
    <row r="138" spans="2:30" ht="19.7" customHeight="1" x14ac:dyDescent="0.2">
      <c r="B138" s="57" t="s">
        <v>237</v>
      </c>
      <c r="C138" s="19" t="s">
        <v>962</v>
      </c>
      <c r="D138" s="92">
        <v>1</v>
      </c>
      <c r="E138" s="88"/>
      <c r="F138" s="88"/>
      <c r="G138" s="53" t="s">
        <v>889</v>
      </c>
      <c r="H138" s="53" t="s">
        <v>812</v>
      </c>
      <c r="I138" s="88">
        <f>노임단가!F23</f>
        <v>267360</v>
      </c>
      <c r="J138" s="88"/>
      <c r="K138" s="88"/>
      <c r="L138" s="88"/>
      <c r="M138" s="53" t="s">
        <v>812</v>
      </c>
      <c r="N138" s="88" t="s">
        <v>683</v>
      </c>
      <c r="O138" s="88"/>
      <c r="P138" s="88"/>
      <c r="Q138" s="88"/>
      <c r="R138" s="88"/>
      <c r="S138" s="88"/>
      <c r="T138" s="88"/>
      <c r="U138" s="88"/>
      <c r="V138" s="88"/>
      <c r="W138" s="53"/>
      <c r="X138" s="53"/>
      <c r="Y138" s="53"/>
      <c r="Z138" s="54">
        <f>AA138+AB138+AC138</f>
        <v>55699.9</v>
      </c>
      <c r="AA138" s="58">
        <f>TRUNC(D138*I138*기계경비적용기준!E21,1)</f>
        <v>55699.9</v>
      </c>
      <c r="AB138" s="58"/>
      <c r="AC138" s="58"/>
      <c r="AD138" s="22" t="s">
        <v>962</v>
      </c>
    </row>
    <row r="139" spans="2:30" ht="19.7" customHeight="1" x14ac:dyDescent="0.2">
      <c r="B139" s="57" t="s">
        <v>962</v>
      </c>
      <c r="C139" s="19" t="s">
        <v>962</v>
      </c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27"/>
      <c r="AA139" s="21"/>
      <c r="AB139" s="21"/>
      <c r="AC139" s="21"/>
      <c r="AD139" s="22" t="s">
        <v>962</v>
      </c>
    </row>
    <row r="140" spans="2:30" ht="19.7" customHeight="1" x14ac:dyDescent="0.2">
      <c r="B140" s="51" t="s">
        <v>548</v>
      </c>
      <c r="C140" s="52" t="s">
        <v>103</v>
      </c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4">
        <f>AA140+AB140+AC140</f>
        <v>104582</v>
      </c>
      <c r="AA140" s="55">
        <f>TRUNC(AA141+AA142+AA143+AA144)</f>
        <v>55699</v>
      </c>
      <c r="AB140" s="55">
        <f>TRUNC(AB141+AB142+AB143+AB144)</f>
        <v>8029</v>
      </c>
      <c r="AC140" s="55">
        <f>TRUNC(AC141+AC142+AC143+AC144)</f>
        <v>40854</v>
      </c>
      <c r="AD140" s="56"/>
    </row>
    <row r="141" spans="2:30" ht="19.7" customHeight="1" x14ac:dyDescent="0.2">
      <c r="B141" s="57" t="s">
        <v>32</v>
      </c>
      <c r="C141" s="19" t="s">
        <v>103</v>
      </c>
      <c r="D141" s="88">
        <v>177785000</v>
      </c>
      <c r="E141" s="88"/>
      <c r="F141" s="88"/>
      <c r="G141" s="88"/>
      <c r="H141" s="88"/>
      <c r="I141" s="88" t="s">
        <v>195</v>
      </c>
      <c r="J141" s="88"/>
      <c r="K141" s="88">
        <v>2298</v>
      </c>
      <c r="L141" s="88"/>
      <c r="M141" s="88"/>
      <c r="N141" s="53" t="s">
        <v>812</v>
      </c>
      <c r="O141" s="88" t="s">
        <v>863</v>
      </c>
      <c r="P141" s="88"/>
      <c r="Q141" s="88"/>
      <c r="R141" s="53"/>
      <c r="S141" s="53"/>
      <c r="T141" s="53"/>
      <c r="U141" s="53"/>
      <c r="V141" s="53"/>
      <c r="W141" s="53"/>
      <c r="X141" s="53"/>
      <c r="Y141" s="53"/>
      <c r="Z141" s="54">
        <f>AA141+AB141+AC141</f>
        <v>40854.9</v>
      </c>
      <c r="AA141" s="58"/>
      <c r="AB141" s="58"/>
      <c r="AC141" s="58">
        <f>TRUNC(D141*K141*0.0000001,1)</f>
        <v>40854.9</v>
      </c>
      <c r="AD141" s="22" t="s">
        <v>936</v>
      </c>
    </row>
    <row r="142" spans="2:30" ht="19.7" customHeight="1" x14ac:dyDescent="0.2">
      <c r="B142" s="57" t="s">
        <v>160</v>
      </c>
      <c r="C142" s="19" t="s">
        <v>962</v>
      </c>
      <c r="D142" s="90">
        <v>4.7</v>
      </c>
      <c r="E142" s="88"/>
      <c r="F142" s="88"/>
      <c r="G142" s="88"/>
      <c r="H142" s="53" t="s">
        <v>769</v>
      </c>
      <c r="I142" s="53" t="s">
        <v>812</v>
      </c>
      <c r="J142" s="88">
        <f>자재단가!R27</f>
        <v>1229</v>
      </c>
      <c r="K142" s="88"/>
      <c r="L142" s="88"/>
      <c r="M142" s="88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4">
        <f>AA142+AB142+AC142</f>
        <v>5776.3</v>
      </c>
      <c r="AA142" s="58"/>
      <c r="AB142" s="58">
        <f>TRUNC(D142*J142,1)</f>
        <v>5776.3</v>
      </c>
      <c r="AC142" s="58"/>
      <c r="AD142" s="22" t="s">
        <v>962</v>
      </c>
    </row>
    <row r="143" spans="2:30" ht="19.7" customHeight="1" x14ac:dyDescent="0.2">
      <c r="B143" s="57" t="s">
        <v>85</v>
      </c>
      <c r="C143" s="19" t="s">
        <v>557</v>
      </c>
      <c r="D143" s="90">
        <v>39</v>
      </c>
      <c r="E143" s="88"/>
      <c r="F143" s="88"/>
      <c r="G143" s="88"/>
      <c r="H143" s="53" t="s">
        <v>210</v>
      </c>
      <c r="I143" s="53" t="s">
        <v>812</v>
      </c>
      <c r="J143" s="88">
        <f>AB142</f>
        <v>5776.3</v>
      </c>
      <c r="K143" s="88"/>
      <c r="L143" s="88"/>
      <c r="M143" s="88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4">
        <f>AA143+AB143+AC143</f>
        <v>2252.6999999999998</v>
      </c>
      <c r="AA143" s="58"/>
      <c r="AB143" s="58">
        <f>TRUNC(D143/100*J143,1)</f>
        <v>2252.6999999999998</v>
      </c>
      <c r="AC143" s="58"/>
      <c r="AD143" s="22" t="s">
        <v>962</v>
      </c>
    </row>
    <row r="144" spans="2:30" ht="19.7" customHeight="1" x14ac:dyDescent="0.2">
      <c r="B144" s="59" t="s">
        <v>237</v>
      </c>
      <c r="C144" s="24" t="s">
        <v>962</v>
      </c>
      <c r="D144" s="93">
        <v>1</v>
      </c>
      <c r="E144" s="89"/>
      <c r="F144" s="89"/>
      <c r="G144" s="9" t="s">
        <v>889</v>
      </c>
      <c r="H144" s="9" t="s">
        <v>812</v>
      </c>
      <c r="I144" s="89">
        <f>노임단가!F23</f>
        <v>267360</v>
      </c>
      <c r="J144" s="89"/>
      <c r="K144" s="89"/>
      <c r="L144" s="89"/>
      <c r="M144" s="9" t="s">
        <v>812</v>
      </c>
      <c r="N144" s="89" t="s">
        <v>683</v>
      </c>
      <c r="O144" s="89"/>
      <c r="P144" s="89"/>
      <c r="Q144" s="89"/>
      <c r="R144" s="89"/>
      <c r="S144" s="89"/>
      <c r="T144" s="89"/>
      <c r="U144" s="89"/>
      <c r="V144" s="89"/>
      <c r="W144" s="9"/>
      <c r="X144" s="9"/>
      <c r="Y144" s="9"/>
      <c r="Z144" s="60">
        <f>AA144+AB144+AC144</f>
        <v>55699.9</v>
      </c>
      <c r="AA144" s="61">
        <f>TRUNC(D144*I144*기계경비적용기준!E21,1)</f>
        <v>55699.9</v>
      </c>
      <c r="AB144" s="61"/>
      <c r="AC144" s="61"/>
      <c r="AD144" s="26" t="s">
        <v>962</v>
      </c>
    </row>
    <row r="145" spans="2:30" ht="19.7" customHeight="1" x14ac:dyDescent="0.2">
      <c r="B145" s="57" t="s">
        <v>962</v>
      </c>
      <c r="C145" s="19" t="s">
        <v>962</v>
      </c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27"/>
      <c r="AA145" s="21"/>
      <c r="AB145" s="21"/>
      <c r="AC145" s="21"/>
      <c r="AD145" s="22" t="s">
        <v>962</v>
      </c>
    </row>
    <row r="146" spans="2:30" ht="19.7" customHeight="1" x14ac:dyDescent="0.2">
      <c r="B146" s="51" t="s">
        <v>792</v>
      </c>
      <c r="C146" s="52" t="s">
        <v>953</v>
      </c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4">
        <f>AA146+AB146+AC146</f>
        <v>116209</v>
      </c>
      <c r="AA146" s="55">
        <f>TRUNC(AA147+AA148+AA149+AA150)</f>
        <v>55699</v>
      </c>
      <c r="AB146" s="55">
        <f>TRUNC(AB147+AB148+AB149+AB150)</f>
        <v>9224</v>
      </c>
      <c r="AC146" s="55">
        <f>TRUNC(AC147+AC148+AC149+AC150)</f>
        <v>51286</v>
      </c>
      <c r="AD146" s="56"/>
    </row>
    <row r="147" spans="2:30" ht="19.7" customHeight="1" x14ac:dyDescent="0.2">
      <c r="B147" s="57" t="s">
        <v>32</v>
      </c>
      <c r="C147" s="19" t="s">
        <v>953</v>
      </c>
      <c r="D147" s="88">
        <v>223178000</v>
      </c>
      <c r="E147" s="88"/>
      <c r="F147" s="88"/>
      <c r="G147" s="88"/>
      <c r="H147" s="88"/>
      <c r="I147" s="88" t="s">
        <v>195</v>
      </c>
      <c r="J147" s="88"/>
      <c r="K147" s="88">
        <v>2298</v>
      </c>
      <c r="L147" s="88"/>
      <c r="M147" s="88"/>
      <c r="N147" s="53" t="s">
        <v>812</v>
      </c>
      <c r="O147" s="88" t="s">
        <v>863</v>
      </c>
      <c r="P147" s="88"/>
      <c r="Q147" s="88"/>
      <c r="R147" s="53"/>
      <c r="S147" s="53"/>
      <c r="T147" s="53"/>
      <c r="U147" s="53"/>
      <c r="V147" s="53"/>
      <c r="W147" s="53"/>
      <c r="X147" s="53"/>
      <c r="Y147" s="53"/>
      <c r="Z147" s="54">
        <f>AA147+AB147+AC147</f>
        <v>51286.3</v>
      </c>
      <c r="AA147" s="58"/>
      <c r="AB147" s="58"/>
      <c r="AC147" s="58">
        <f>TRUNC(D147*K147*0.0000001,1)</f>
        <v>51286.3</v>
      </c>
      <c r="AD147" s="22" t="s">
        <v>936</v>
      </c>
    </row>
    <row r="148" spans="2:30" ht="19.7" customHeight="1" x14ac:dyDescent="0.2">
      <c r="B148" s="57" t="s">
        <v>160</v>
      </c>
      <c r="C148" s="19" t="s">
        <v>962</v>
      </c>
      <c r="D148" s="90">
        <v>5.4</v>
      </c>
      <c r="E148" s="88"/>
      <c r="F148" s="88"/>
      <c r="G148" s="88"/>
      <c r="H148" s="53" t="s">
        <v>769</v>
      </c>
      <c r="I148" s="53" t="s">
        <v>812</v>
      </c>
      <c r="J148" s="88">
        <f>자재단가!R27</f>
        <v>1229</v>
      </c>
      <c r="K148" s="88"/>
      <c r="L148" s="88"/>
      <c r="M148" s="88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4">
        <f>AA148+AB148+AC148</f>
        <v>6636.6</v>
      </c>
      <c r="AA148" s="58"/>
      <c r="AB148" s="58">
        <f>TRUNC(D148*J148,1)</f>
        <v>6636.6</v>
      </c>
      <c r="AC148" s="58"/>
      <c r="AD148" s="22" t="s">
        <v>962</v>
      </c>
    </row>
    <row r="149" spans="2:30" ht="19.7" customHeight="1" x14ac:dyDescent="0.2">
      <c r="B149" s="57" t="s">
        <v>85</v>
      </c>
      <c r="C149" s="19" t="s">
        <v>557</v>
      </c>
      <c r="D149" s="90">
        <v>39</v>
      </c>
      <c r="E149" s="88"/>
      <c r="F149" s="88"/>
      <c r="G149" s="88"/>
      <c r="H149" s="53" t="s">
        <v>210</v>
      </c>
      <c r="I149" s="53" t="s">
        <v>812</v>
      </c>
      <c r="J149" s="88">
        <f>AB148</f>
        <v>6636.6</v>
      </c>
      <c r="K149" s="88"/>
      <c r="L149" s="88"/>
      <c r="M149" s="88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4">
        <f>AA149+AB149+AC149</f>
        <v>2588.1999999999998</v>
      </c>
      <c r="AA149" s="58"/>
      <c r="AB149" s="58">
        <f>TRUNC(D149/100*J149,1)</f>
        <v>2588.1999999999998</v>
      </c>
      <c r="AC149" s="58"/>
      <c r="AD149" s="22" t="s">
        <v>962</v>
      </c>
    </row>
    <row r="150" spans="2:30" ht="19.7" customHeight="1" x14ac:dyDescent="0.2">
      <c r="B150" s="57" t="s">
        <v>237</v>
      </c>
      <c r="C150" s="19" t="s">
        <v>962</v>
      </c>
      <c r="D150" s="92">
        <v>1</v>
      </c>
      <c r="E150" s="88"/>
      <c r="F150" s="88"/>
      <c r="G150" s="53" t="s">
        <v>889</v>
      </c>
      <c r="H150" s="53" t="s">
        <v>812</v>
      </c>
      <c r="I150" s="88">
        <f>노임단가!F23</f>
        <v>267360</v>
      </c>
      <c r="J150" s="88"/>
      <c r="K150" s="88"/>
      <c r="L150" s="88"/>
      <c r="M150" s="53" t="s">
        <v>812</v>
      </c>
      <c r="N150" s="88" t="s">
        <v>683</v>
      </c>
      <c r="O150" s="88"/>
      <c r="P150" s="88"/>
      <c r="Q150" s="88"/>
      <c r="R150" s="88"/>
      <c r="S150" s="88"/>
      <c r="T150" s="88"/>
      <c r="U150" s="88"/>
      <c r="V150" s="88"/>
      <c r="W150" s="53"/>
      <c r="X150" s="53"/>
      <c r="Y150" s="53"/>
      <c r="Z150" s="54">
        <f>AA150+AB150+AC150</f>
        <v>55699.9</v>
      </c>
      <c r="AA150" s="58">
        <f>TRUNC(D150*I150*기계경비적용기준!E21,1)</f>
        <v>55699.9</v>
      </c>
      <c r="AB150" s="58"/>
      <c r="AC150" s="58"/>
      <c r="AD150" s="22" t="s">
        <v>962</v>
      </c>
    </row>
    <row r="151" spans="2:30" ht="19.7" customHeight="1" x14ac:dyDescent="0.2">
      <c r="B151" s="57" t="s">
        <v>962</v>
      </c>
      <c r="C151" s="19" t="s">
        <v>962</v>
      </c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27"/>
      <c r="AA151" s="21"/>
      <c r="AB151" s="21"/>
      <c r="AC151" s="21"/>
      <c r="AD151" s="22" t="s">
        <v>962</v>
      </c>
    </row>
    <row r="152" spans="2:30" ht="19.7" customHeight="1" x14ac:dyDescent="0.2">
      <c r="B152" s="51" t="s">
        <v>74</v>
      </c>
      <c r="C152" s="52" t="s">
        <v>767</v>
      </c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4">
        <f>AA152+AB152+AC152</f>
        <v>122786</v>
      </c>
      <c r="AA152" s="55">
        <f>TRUNC(AA153+AA154+AA155+AA156)</f>
        <v>55699</v>
      </c>
      <c r="AB152" s="55">
        <f>TRUNC(AB153+AB154+AB155+AB156)</f>
        <v>10420</v>
      </c>
      <c r="AC152" s="55">
        <f>TRUNC(AC153+AC154+AC155+AC156)</f>
        <v>56667</v>
      </c>
      <c r="AD152" s="56"/>
    </row>
    <row r="153" spans="2:30" ht="19.7" customHeight="1" x14ac:dyDescent="0.2">
      <c r="B153" s="57" t="s">
        <v>32</v>
      </c>
      <c r="C153" s="19" t="s">
        <v>767</v>
      </c>
      <c r="D153" s="88">
        <v>275488000</v>
      </c>
      <c r="E153" s="88"/>
      <c r="F153" s="88"/>
      <c r="G153" s="88"/>
      <c r="H153" s="88"/>
      <c r="I153" s="88" t="s">
        <v>195</v>
      </c>
      <c r="J153" s="88"/>
      <c r="K153" s="88">
        <v>2057</v>
      </c>
      <c r="L153" s="88"/>
      <c r="M153" s="88"/>
      <c r="N153" s="53" t="s">
        <v>812</v>
      </c>
      <c r="O153" s="88" t="s">
        <v>863</v>
      </c>
      <c r="P153" s="88"/>
      <c r="Q153" s="88"/>
      <c r="R153" s="53"/>
      <c r="S153" s="53"/>
      <c r="T153" s="53"/>
      <c r="U153" s="53"/>
      <c r="V153" s="53"/>
      <c r="W153" s="53"/>
      <c r="X153" s="53"/>
      <c r="Y153" s="53"/>
      <c r="Z153" s="54">
        <f>AA153+AB153+AC153</f>
        <v>56667.8</v>
      </c>
      <c r="AA153" s="58"/>
      <c r="AB153" s="58"/>
      <c r="AC153" s="58">
        <f>TRUNC(D153*K153*0.0000001,1)</f>
        <v>56667.8</v>
      </c>
      <c r="AD153" s="22" t="s">
        <v>936</v>
      </c>
    </row>
    <row r="154" spans="2:30" ht="19.7" customHeight="1" x14ac:dyDescent="0.2">
      <c r="B154" s="57" t="s">
        <v>160</v>
      </c>
      <c r="C154" s="19" t="s">
        <v>962</v>
      </c>
      <c r="D154" s="90">
        <v>6.1</v>
      </c>
      <c r="E154" s="88"/>
      <c r="F154" s="88"/>
      <c r="G154" s="88"/>
      <c r="H154" s="53" t="s">
        <v>769</v>
      </c>
      <c r="I154" s="53" t="s">
        <v>812</v>
      </c>
      <c r="J154" s="88">
        <f>자재단가!R27</f>
        <v>1229</v>
      </c>
      <c r="K154" s="88"/>
      <c r="L154" s="88"/>
      <c r="M154" s="88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4">
        <f>AA154+AB154+AC154</f>
        <v>7496.9</v>
      </c>
      <c r="AA154" s="58"/>
      <c r="AB154" s="58">
        <f>TRUNC(D154*J154,1)</f>
        <v>7496.9</v>
      </c>
      <c r="AC154" s="58"/>
      <c r="AD154" s="22" t="s">
        <v>962</v>
      </c>
    </row>
    <row r="155" spans="2:30" ht="19.7" customHeight="1" x14ac:dyDescent="0.2">
      <c r="B155" s="57" t="s">
        <v>85</v>
      </c>
      <c r="C155" s="19" t="s">
        <v>557</v>
      </c>
      <c r="D155" s="90">
        <v>39</v>
      </c>
      <c r="E155" s="88"/>
      <c r="F155" s="88"/>
      <c r="G155" s="88"/>
      <c r="H155" s="53" t="s">
        <v>210</v>
      </c>
      <c r="I155" s="53" t="s">
        <v>812</v>
      </c>
      <c r="J155" s="88">
        <f>AB154</f>
        <v>7496.9</v>
      </c>
      <c r="K155" s="88"/>
      <c r="L155" s="88"/>
      <c r="M155" s="88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4">
        <f>AA155+AB155+AC155</f>
        <v>2923.7</v>
      </c>
      <c r="AA155" s="58"/>
      <c r="AB155" s="58">
        <f>TRUNC(D155/100*J155,1)</f>
        <v>2923.7</v>
      </c>
      <c r="AC155" s="58"/>
      <c r="AD155" s="22" t="s">
        <v>962</v>
      </c>
    </row>
    <row r="156" spans="2:30" ht="19.7" customHeight="1" x14ac:dyDescent="0.2">
      <c r="B156" s="57" t="s">
        <v>237</v>
      </c>
      <c r="C156" s="19" t="s">
        <v>962</v>
      </c>
      <c r="D156" s="92">
        <v>1</v>
      </c>
      <c r="E156" s="88"/>
      <c r="F156" s="88"/>
      <c r="G156" s="53" t="s">
        <v>889</v>
      </c>
      <c r="H156" s="53" t="s">
        <v>812</v>
      </c>
      <c r="I156" s="88">
        <f>노임단가!F23</f>
        <v>267360</v>
      </c>
      <c r="J156" s="88"/>
      <c r="K156" s="88"/>
      <c r="L156" s="88"/>
      <c r="M156" s="53" t="s">
        <v>812</v>
      </c>
      <c r="N156" s="88" t="s">
        <v>683</v>
      </c>
      <c r="O156" s="88"/>
      <c r="P156" s="88"/>
      <c r="Q156" s="88"/>
      <c r="R156" s="88"/>
      <c r="S156" s="88"/>
      <c r="T156" s="88"/>
      <c r="U156" s="88"/>
      <c r="V156" s="88"/>
      <c r="W156" s="53"/>
      <c r="X156" s="53"/>
      <c r="Y156" s="53"/>
      <c r="Z156" s="54">
        <f>AA156+AB156+AC156</f>
        <v>55699.9</v>
      </c>
      <c r="AA156" s="58">
        <f>TRUNC(D156*I156*기계경비적용기준!E21,1)</f>
        <v>55699.9</v>
      </c>
      <c r="AB156" s="58"/>
      <c r="AC156" s="58"/>
      <c r="AD156" s="22" t="s">
        <v>962</v>
      </c>
    </row>
    <row r="157" spans="2:30" ht="19.7" customHeight="1" x14ac:dyDescent="0.2">
      <c r="B157" s="57" t="s">
        <v>962</v>
      </c>
      <c r="C157" s="19" t="s">
        <v>962</v>
      </c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27"/>
      <c r="AA157" s="21"/>
      <c r="AB157" s="21"/>
      <c r="AC157" s="21"/>
      <c r="AD157" s="22" t="s">
        <v>962</v>
      </c>
    </row>
    <row r="158" spans="2:30" ht="19.7" customHeight="1" x14ac:dyDescent="0.2">
      <c r="B158" s="51" t="s">
        <v>317</v>
      </c>
      <c r="C158" s="52" t="s">
        <v>301</v>
      </c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4">
        <f>AA158+AB158+AC158</f>
        <v>123641</v>
      </c>
      <c r="AA158" s="55">
        <f>TRUNC(AA159+AA160+AA161+AA162)</f>
        <v>55699</v>
      </c>
      <c r="AB158" s="55">
        <f>TRUNC(AB159+AB160+AB161+AB162)</f>
        <v>13153</v>
      </c>
      <c r="AC158" s="55">
        <f>TRUNC(AC159+AC160+AC161+AC162)</f>
        <v>54789</v>
      </c>
      <c r="AD158" s="56"/>
    </row>
    <row r="159" spans="2:30" ht="19.7" customHeight="1" x14ac:dyDescent="0.2">
      <c r="B159" s="57" t="s">
        <v>32</v>
      </c>
      <c r="C159" s="19" t="s">
        <v>301</v>
      </c>
      <c r="D159" s="88">
        <v>315425000</v>
      </c>
      <c r="E159" s="88"/>
      <c r="F159" s="88"/>
      <c r="G159" s="88"/>
      <c r="H159" s="88"/>
      <c r="I159" s="88" t="s">
        <v>195</v>
      </c>
      <c r="J159" s="88"/>
      <c r="K159" s="88">
        <v>1737</v>
      </c>
      <c r="L159" s="88"/>
      <c r="M159" s="88"/>
      <c r="N159" s="53" t="s">
        <v>812</v>
      </c>
      <c r="O159" s="88" t="s">
        <v>863</v>
      </c>
      <c r="P159" s="88"/>
      <c r="Q159" s="88"/>
      <c r="R159" s="53"/>
      <c r="S159" s="53"/>
      <c r="T159" s="53"/>
      <c r="U159" s="53"/>
      <c r="V159" s="53"/>
      <c r="W159" s="53"/>
      <c r="X159" s="53"/>
      <c r="Y159" s="53"/>
      <c r="Z159" s="54">
        <f>AA159+AB159+AC159</f>
        <v>54789.3</v>
      </c>
      <c r="AA159" s="58"/>
      <c r="AB159" s="58"/>
      <c r="AC159" s="58">
        <f>TRUNC(D159*K159*0.0000001,1)</f>
        <v>54789.3</v>
      </c>
      <c r="AD159" s="22" t="s">
        <v>936</v>
      </c>
    </row>
    <row r="160" spans="2:30" ht="19.7" customHeight="1" x14ac:dyDescent="0.2">
      <c r="B160" s="57" t="s">
        <v>160</v>
      </c>
      <c r="C160" s="19" t="s">
        <v>962</v>
      </c>
      <c r="D160" s="90">
        <v>7.7</v>
      </c>
      <c r="E160" s="88"/>
      <c r="F160" s="88"/>
      <c r="G160" s="88"/>
      <c r="H160" s="53" t="s">
        <v>769</v>
      </c>
      <c r="I160" s="53" t="s">
        <v>812</v>
      </c>
      <c r="J160" s="88">
        <f>자재단가!R27</f>
        <v>1229</v>
      </c>
      <c r="K160" s="88"/>
      <c r="L160" s="88"/>
      <c r="M160" s="88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4">
        <f>AA160+AB160+AC160</f>
        <v>9463.2999999999993</v>
      </c>
      <c r="AA160" s="58"/>
      <c r="AB160" s="58">
        <f>TRUNC(D160*J160,1)</f>
        <v>9463.2999999999993</v>
      </c>
      <c r="AC160" s="58"/>
      <c r="AD160" s="22" t="s">
        <v>962</v>
      </c>
    </row>
    <row r="161" spans="2:30" ht="19.7" customHeight="1" x14ac:dyDescent="0.2">
      <c r="B161" s="57" t="s">
        <v>85</v>
      </c>
      <c r="C161" s="19" t="s">
        <v>557</v>
      </c>
      <c r="D161" s="90">
        <v>39</v>
      </c>
      <c r="E161" s="88"/>
      <c r="F161" s="88"/>
      <c r="G161" s="88"/>
      <c r="H161" s="53" t="s">
        <v>210</v>
      </c>
      <c r="I161" s="53" t="s">
        <v>812</v>
      </c>
      <c r="J161" s="88">
        <f>AB160</f>
        <v>9463.2999999999993</v>
      </c>
      <c r="K161" s="88"/>
      <c r="L161" s="88"/>
      <c r="M161" s="88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4">
        <f>AA161+AB161+AC161</f>
        <v>3690.6</v>
      </c>
      <c r="AA161" s="58"/>
      <c r="AB161" s="58">
        <f>TRUNC(D161/100*J161,1)</f>
        <v>3690.6</v>
      </c>
      <c r="AC161" s="58"/>
      <c r="AD161" s="22" t="s">
        <v>962</v>
      </c>
    </row>
    <row r="162" spans="2:30" ht="19.7" customHeight="1" x14ac:dyDescent="0.2">
      <c r="B162" s="57" t="s">
        <v>237</v>
      </c>
      <c r="C162" s="19" t="s">
        <v>962</v>
      </c>
      <c r="D162" s="92">
        <v>1</v>
      </c>
      <c r="E162" s="88"/>
      <c r="F162" s="88"/>
      <c r="G162" s="53" t="s">
        <v>889</v>
      </c>
      <c r="H162" s="53" t="s">
        <v>812</v>
      </c>
      <c r="I162" s="88">
        <f>노임단가!F23</f>
        <v>267360</v>
      </c>
      <c r="J162" s="88"/>
      <c r="K162" s="88"/>
      <c r="L162" s="88"/>
      <c r="M162" s="53" t="s">
        <v>812</v>
      </c>
      <c r="N162" s="88" t="s">
        <v>683</v>
      </c>
      <c r="O162" s="88"/>
      <c r="P162" s="88"/>
      <c r="Q162" s="88"/>
      <c r="R162" s="88"/>
      <c r="S162" s="88"/>
      <c r="T162" s="88"/>
      <c r="U162" s="88"/>
      <c r="V162" s="88"/>
      <c r="W162" s="53"/>
      <c r="X162" s="53"/>
      <c r="Y162" s="53"/>
      <c r="Z162" s="54">
        <f>AA162+AB162+AC162</f>
        <v>55699.9</v>
      </c>
      <c r="AA162" s="58">
        <f>TRUNC(D162*I162*기계경비적용기준!E21,1)</f>
        <v>55699.9</v>
      </c>
      <c r="AB162" s="58"/>
      <c r="AC162" s="58"/>
      <c r="AD162" s="22" t="s">
        <v>962</v>
      </c>
    </row>
    <row r="163" spans="2:30" ht="19.7" customHeight="1" x14ac:dyDescent="0.2">
      <c r="B163" s="57" t="s">
        <v>962</v>
      </c>
      <c r="C163" s="19" t="s">
        <v>962</v>
      </c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27"/>
      <c r="AA163" s="21"/>
      <c r="AB163" s="21"/>
      <c r="AC163" s="21"/>
      <c r="AD163" s="22" t="s">
        <v>962</v>
      </c>
    </row>
    <row r="164" spans="2:30" ht="19.7" customHeight="1" x14ac:dyDescent="0.2">
      <c r="B164" s="51" t="s">
        <v>546</v>
      </c>
      <c r="C164" s="52" t="s">
        <v>472</v>
      </c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4">
        <f>AA164+AB164+AC164</f>
        <v>126271</v>
      </c>
      <c r="AA164" s="55">
        <f>TRUNC(AA165+AA166+AA167+AA168)</f>
        <v>55699</v>
      </c>
      <c r="AB164" s="55">
        <f>TRUNC(AB165+AB166+AB167+AB168)</f>
        <v>13153</v>
      </c>
      <c r="AC164" s="55">
        <f>TRUNC(AC165+AC166+AC167+AC168)</f>
        <v>57419</v>
      </c>
      <c r="AD164" s="56"/>
    </row>
    <row r="165" spans="2:30" ht="19.7" customHeight="1" x14ac:dyDescent="0.2">
      <c r="B165" s="57" t="s">
        <v>32</v>
      </c>
      <c r="C165" s="19" t="s">
        <v>472</v>
      </c>
      <c r="D165" s="88">
        <v>330568000</v>
      </c>
      <c r="E165" s="88"/>
      <c r="F165" s="88"/>
      <c r="G165" s="88"/>
      <c r="H165" s="88"/>
      <c r="I165" s="88" t="s">
        <v>195</v>
      </c>
      <c r="J165" s="88"/>
      <c r="K165" s="88">
        <v>1737</v>
      </c>
      <c r="L165" s="88"/>
      <c r="M165" s="88"/>
      <c r="N165" s="53" t="s">
        <v>812</v>
      </c>
      <c r="O165" s="88" t="s">
        <v>863</v>
      </c>
      <c r="P165" s="88"/>
      <c r="Q165" s="88"/>
      <c r="R165" s="53"/>
      <c r="S165" s="53"/>
      <c r="T165" s="53"/>
      <c r="U165" s="53"/>
      <c r="V165" s="53"/>
      <c r="W165" s="53"/>
      <c r="X165" s="53"/>
      <c r="Y165" s="53"/>
      <c r="Z165" s="54">
        <f>AA165+AB165+AC165</f>
        <v>57419.6</v>
      </c>
      <c r="AA165" s="58"/>
      <c r="AB165" s="58"/>
      <c r="AC165" s="58">
        <f>TRUNC(D165*K165*0.0000001,1)</f>
        <v>57419.6</v>
      </c>
      <c r="AD165" s="22" t="s">
        <v>936</v>
      </c>
    </row>
    <row r="166" spans="2:30" ht="19.7" customHeight="1" x14ac:dyDescent="0.2">
      <c r="B166" s="57" t="s">
        <v>160</v>
      </c>
      <c r="C166" s="19" t="s">
        <v>962</v>
      </c>
      <c r="D166" s="90">
        <v>7.7</v>
      </c>
      <c r="E166" s="88"/>
      <c r="F166" s="88"/>
      <c r="G166" s="88"/>
      <c r="H166" s="53" t="s">
        <v>769</v>
      </c>
      <c r="I166" s="53" t="s">
        <v>812</v>
      </c>
      <c r="J166" s="88">
        <f>자재단가!R27</f>
        <v>1229</v>
      </c>
      <c r="K166" s="88"/>
      <c r="L166" s="88"/>
      <c r="M166" s="88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4">
        <f>AA166+AB166+AC166</f>
        <v>9463.2999999999993</v>
      </c>
      <c r="AA166" s="58"/>
      <c r="AB166" s="58">
        <f>TRUNC(D166*J166,1)</f>
        <v>9463.2999999999993</v>
      </c>
      <c r="AC166" s="58"/>
      <c r="AD166" s="22" t="s">
        <v>962</v>
      </c>
    </row>
    <row r="167" spans="2:30" ht="19.7" customHeight="1" x14ac:dyDescent="0.2">
      <c r="B167" s="57" t="s">
        <v>85</v>
      </c>
      <c r="C167" s="19" t="s">
        <v>557</v>
      </c>
      <c r="D167" s="90">
        <v>39</v>
      </c>
      <c r="E167" s="88"/>
      <c r="F167" s="88"/>
      <c r="G167" s="88"/>
      <c r="H167" s="53" t="s">
        <v>210</v>
      </c>
      <c r="I167" s="53" t="s">
        <v>812</v>
      </c>
      <c r="J167" s="88">
        <f>AB166</f>
        <v>9463.2999999999993</v>
      </c>
      <c r="K167" s="88"/>
      <c r="L167" s="88"/>
      <c r="M167" s="88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4">
        <f>AA167+AB167+AC167</f>
        <v>3690.6</v>
      </c>
      <c r="AA167" s="58"/>
      <c r="AB167" s="58">
        <f>TRUNC(D167/100*J167,1)</f>
        <v>3690.6</v>
      </c>
      <c r="AC167" s="58"/>
      <c r="AD167" s="22" t="s">
        <v>962</v>
      </c>
    </row>
    <row r="168" spans="2:30" ht="19.7" customHeight="1" x14ac:dyDescent="0.2">
      <c r="B168" s="57" t="s">
        <v>237</v>
      </c>
      <c r="C168" s="19" t="s">
        <v>962</v>
      </c>
      <c r="D168" s="92">
        <v>1</v>
      </c>
      <c r="E168" s="88"/>
      <c r="F168" s="88"/>
      <c r="G168" s="53" t="s">
        <v>889</v>
      </c>
      <c r="H168" s="53" t="s">
        <v>812</v>
      </c>
      <c r="I168" s="88">
        <f>노임단가!F23</f>
        <v>267360</v>
      </c>
      <c r="J168" s="88"/>
      <c r="K168" s="88"/>
      <c r="L168" s="88"/>
      <c r="M168" s="53" t="s">
        <v>812</v>
      </c>
      <c r="N168" s="88" t="s">
        <v>683</v>
      </c>
      <c r="O168" s="88"/>
      <c r="P168" s="88"/>
      <c r="Q168" s="88"/>
      <c r="R168" s="88"/>
      <c r="S168" s="88"/>
      <c r="T168" s="88"/>
      <c r="U168" s="88"/>
      <c r="V168" s="88"/>
      <c r="W168" s="53"/>
      <c r="X168" s="53"/>
      <c r="Y168" s="53"/>
      <c r="Z168" s="54">
        <f>AA168+AB168+AC168</f>
        <v>55699.9</v>
      </c>
      <c r="AA168" s="58">
        <f>TRUNC(D168*I168*기계경비적용기준!E21,1)</f>
        <v>55699.9</v>
      </c>
      <c r="AB168" s="58"/>
      <c r="AC168" s="58"/>
      <c r="AD168" s="22" t="s">
        <v>962</v>
      </c>
    </row>
    <row r="169" spans="2:30" ht="19.7" customHeight="1" x14ac:dyDescent="0.2">
      <c r="B169" s="57" t="s">
        <v>962</v>
      </c>
      <c r="C169" s="19" t="s">
        <v>962</v>
      </c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27"/>
      <c r="AA169" s="21"/>
      <c r="AB169" s="21"/>
      <c r="AC169" s="21"/>
      <c r="AD169" s="22" t="s">
        <v>962</v>
      </c>
    </row>
    <row r="170" spans="2:30" ht="19.7" customHeight="1" x14ac:dyDescent="0.2">
      <c r="B170" s="51" t="s">
        <v>795</v>
      </c>
      <c r="C170" s="52" t="s">
        <v>357</v>
      </c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4">
        <f>AA170+AB170+AC170</f>
        <v>137553</v>
      </c>
      <c r="AA170" s="55">
        <f>TRUNC(AA171+AA172+AA173+AA174)</f>
        <v>55699</v>
      </c>
      <c r="AB170" s="55">
        <f>TRUNC(AB171+AB172+AB173+AB174)</f>
        <v>16401</v>
      </c>
      <c r="AC170" s="55">
        <f>TRUNC(AC171+AC172+AC173+AC174)</f>
        <v>65453</v>
      </c>
      <c r="AD170" s="56"/>
    </row>
    <row r="171" spans="2:30" ht="19.7" customHeight="1" x14ac:dyDescent="0.2">
      <c r="B171" s="57" t="s">
        <v>32</v>
      </c>
      <c r="C171" s="19" t="s">
        <v>357</v>
      </c>
      <c r="D171" s="88">
        <v>376820000</v>
      </c>
      <c r="E171" s="88"/>
      <c r="F171" s="88"/>
      <c r="G171" s="88"/>
      <c r="H171" s="88"/>
      <c r="I171" s="88" t="s">
        <v>195</v>
      </c>
      <c r="J171" s="88"/>
      <c r="K171" s="88">
        <v>1737</v>
      </c>
      <c r="L171" s="88"/>
      <c r="M171" s="88"/>
      <c r="N171" s="53" t="s">
        <v>812</v>
      </c>
      <c r="O171" s="88" t="s">
        <v>863</v>
      </c>
      <c r="P171" s="88"/>
      <c r="Q171" s="88"/>
      <c r="R171" s="53"/>
      <c r="S171" s="53"/>
      <c r="T171" s="53"/>
      <c r="U171" s="53"/>
      <c r="V171" s="53"/>
      <c r="W171" s="53"/>
      <c r="X171" s="53"/>
      <c r="Y171" s="53"/>
      <c r="Z171" s="54">
        <f>AA171+AB171+AC171</f>
        <v>65453.599999999999</v>
      </c>
      <c r="AA171" s="58"/>
      <c r="AB171" s="58"/>
      <c r="AC171" s="58">
        <f>TRUNC(D171*K171*0.0000001,1)</f>
        <v>65453.599999999999</v>
      </c>
      <c r="AD171" s="22" t="s">
        <v>936</v>
      </c>
    </row>
    <row r="172" spans="2:30" ht="19.7" customHeight="1" x14ac:dyDescent="0.2">
      <c r="B172" s="59" t="s">
        <v>160</v>
      </c>
      <c r="C172" s="24" t="s">
        <v>962</v>
      </c>
      <c r="D172" s="91">
        <v>8.5</v>
      </c>
      <c r="E172" s="89"/>
      <c r="F172" s="89"/>
      <c r="G172" s="89"/>
      <c r="H172" s="9" t="s">
        <v>769</v>
      </c>
      <c r="I172" s="9" t="s">
        <v>812</v>
      </c>
      <c r="J172" s="89">
        <f>자재단가!R27</f>
        <v>1229</v>
      </c>
      <c r="K172" s="89"/>
      <c r="L172" s="89"/>
      <c r="M172" s="8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60">
        <f>AA172+AB172+AC172</f>
        <v>10446.5</v>
      </c>
      <c r="AA172" s="61"/>
      <c r="AB172" s="61">
        <f>TRUNC(D172*J172,1)</f>
        <v>10446.5</v>
      </c>
      <c r="AC172" s="61"/>
      <c r="AD172" s="26" t="s">
        <v>962</v>
      </c>
    </row>
    <row r="173" spans="2:30" ht="19.7" customHeight="1" x14ac:dyDescent="0.2">
      <c r="B173" s="57" t="s">
        <v>85</v>
      </c>
      <c r="C173" s="19" t="s">
        <v>557</v>
      </c>
      <c r="D173" s="90">
        <v>57</v>
      </c>
      <c r="E173" s="88"/>
      <c r="F173" s="88"/>
      <c r="G173" s="88"/>
      <c r="H173" s="53" t="s">
        <v>210</v>
      </c>
      <c r="I173" s="53" t="s">
        <v>812</v>
      </c>
      <c r="J173" s="88">
        <f>AB172</f>
        <v>10446.5</v>
      </c>
      <c r="K173" s="88"/>
      <c r="L173" s="88"/>
      <c r="M173" s="88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4">
        <f>AA173+AB173+AC173</f>
        <v>5954.5</v>
      </c>
      <c r="AA173" s="58"/>
      <c r="AB173" s="58">
        <f>TRUNC(D173/100*J173,1)</f>
        <v>5954.5</v>
      </c>
      <c r="AC173" s="58"/>
      <c r="AD173" s="22" t="s">
        <v>962</v>
      </c>
    </row>
    <row r="174" spans="2:30" ht="19.7" customHeight="1" x14ac:dyDescent="0.2">
      <c r="B174" s="57" t="s">
        <v>237</v>
      </c>
      <c r="C174" s="19" t="s">
        <v>962</v>
      </c>
      <c r="D174" s="92">
        <v>1</v>
      </c>
      <c r="E174" s="88"/>
      <c r="F174" s="88"/>
      <c r="G174" s="53" t="s">
        <v>889</v>
      </c>
      <c r="H174" s="53" t="s">
        <v>812</v>
      </c>
      <c r="I174" s="88">
        <f>노임단가!F23</f>
        <v>267360</v>
      </c>
      <c r="J174" s="88"/>
      <c r="K174" s="88"/>
      <c r="L174" s="88"/>
      <c r="M174" s="53" t="s">
        <v>812</v>
      </c>
      <c r="N174" s="88" t="s">
        <v>683</v>
      </c>
      <c r="O174" s="88"/>
      <c r="P174" s="88"/>
      <c r="Q174" s="88"/>
      <c r="R174" s="88"/>
      <c r="S174" s="88"/>
      <c r="T174" s="88"/>
      <c r="U174" s="88"/>
      <c r="V174" s="88"/>
      <c r="W174" s="53"/>
      <c r="X174" s="53"/>
      <c r="Y174" s="53"/>
      <c r="Z174" s="54">
        <f>AA174+AB174+AC174</f>
        <v>55699.9</v>
      </c>
      <c r="AA174" s="58">
        <f>TRUNC(D174*I174*기계경비적용기준!E21,1)</f>
        <v>55699.9</v>
      </c>
      <c r="AB174" s="58"/>
      <c r="AC174" s="58"/>
      <c r="AD174" s="22" t="s">
        <v>962</v>
      </c>
    </row>
    <row r="175" spans="2:30" ht="19.7" customHeight="1" x14ac:dyDescent="0.2">
      <c r="B175" s="57" t="s">
        <v>962</v>
      </c>
      <c r="C175" s="19" t="s">
        <v>962</v>
      </c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27"/>
      <c r="AA175" s="21"/>
      <c r="AB175" s="21"/>
      <c r="AC175" s="21"/>
      <c r="AD175" s="22" t="s">
        <v>962</v>
      </c>
    </row>
    <row r="176" spans="2:30" ht="19.7" customHeight="1" x14ac:dyDescent="0.2">
      <c r="B176" s="51" t="s">
        <v>244</v>
      </c>
      <c r="C176" s="52" t="s">
        <v>162</v>
      </c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4">
        <f>AA176+AB176+AC176</f>
        <v>64746</v>
      </c>
      <c r="AA176" s="55">
        <f>TRUNC(AA177+AA178+AA179+AA180)</f>
        <v>47231</v>
      </c>
      <c r="AB176" s="55">
        <f>TRUNC(AB177+AB178+AB179+AB180)</f>
        <v>7521</v>
      </c>
      <c r="AC176" s="55">
        <f>TRUNC(AC177+AC178+AC179+AC180)</f>
        <v>9994</v>
      </c>
      <c r="AD176" s="56"/>
    </row>
    <row r="177" spans="2:30" ht="19.7" customHeight="1" x14ac:dyDescent="0.2">
      <c r="B177" s="57" t="s">
        <v>772</v>
      </c>
      <c r="C177" s="19" t="s">
        <v>162</v>
      </c>
      <c r="D177" s="88">
        <v>38469000</v>
      </c>
      <c r="E177" s="88"/>
      <c r="F177" s="88"/>
      <c r="G177" s="88"/>
      <c r="H177" s="88"/>
      <c r="I177" s="88" t="s">
        <v>195</v>
      </c>
      <c r="J177" s="88"/>
      <c r="K177" s="88">
        <v>2597.9999999999995</v>
      </c>
      <c r="L177" s="88"/>
      <c r="M177" s="88"/>
      <c r="N177" s="53" t="s">
        <v>812</v>
      </c>
      <c r="O177" s="88" t="s">
        <v>863</v>
      </c>
      <c r="P177" s="88"/>
      <c r="Q177" s="88"/>
      <c r="R177" s="53"/>
      <c r="S177" s="53"/>
      <c r="T177" s="53"/>
      <c r="U177" s="53"/>
      <c r="V177" s="53"/>
      <c r="W177" s="53"/>
      <c r="X177" s="53"/>
      <c r="Y177" s="53"/>
      <c r="Z177" s="54">
        <f>AA177+AB177+AC177</f>
        <v>9994.2000000000007</v>
      </c>
      <c r="AA177" s="58"/>
      <c r="AB177" s="58"/>
      <c r="AC177" s="58">
        <f>TRUNC(D177*K177*0.0000001,1)</f>
        <v>9994.2000000000007</v>
      </c>
      <c r="AD177" s="22" t="s">
        <v>936</v>
      </c>
    </row>
    <row r="178" spans="2:30" ht="19.7" customHeight="1" x14ac:dyDescent="0.2">
      <c r="B178" s="57" t="s">
        <v>160</v>
      </c>
      <c r="C178" s="19" t="s">
        <v>962</v>
      </c>
      <c r="D178" s="90">
        <v>5.0999999999999996</v>
      </c>
      <c r="E178" s="88"/>
      <c r="F178" s="88"/>
      <c r="G178" s="88"/>
      <c r="H178" s="53" t="s">
        <v>769</v>
      </c>
      <c r="I178" s="53" t="s">
        <v>812</v>
      </c>
      <c r="J178" s="88">
        <f>자재단가!R27</f>
        <v>1229</v>
      </c>
      <c r="K178" s="88"/>
      <c r="L178" s="88"/>
      <c r="M178" s="88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4">
        <f>AA178+AB178+AC178</f>
        <v>6267.9</v>
      </c>
      <c r="AA178" s="58"/>
      <c r="AB178" s="58">
        <f>TRUNC(D178*J178,1)</f>
        <v>6267.9</v>
      </c>
      <c r="AC178" s="58"/>
      <c r="AD178" s="22" t="s">
        <v>962</v>
      </c>
    </row>
    <row r="179" spans="2:30" ht="19.7" customHeight="1" x14ac:dyDescent="0.2">
      <c r="B179" s="57" t="s">
        <v>29</v>
      </c>
      <c r="C179" s="19" t="s">
        <v>557</v>
      </c>
      <c r="D179" s="90">
        <v>20</v>
      </c>
      <c r="E179" s="88"/>
      <c r="F179" s="88"/>
      <c r="G179" s="88"/>
      <c r="H179" s="53" t="s">
        <v>210</v>
      </c>
      <c r="I179" s="53" t="s">
        <v>812</v>
      </c>
      <c r="J179" s="88">
        <f>AB178</f>
        <v>6267.9</v>
      </c>
      <c r="K179" s="88"/>
      <c r="L179" s="88"/>
      <c r="M179" s="88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4">
        <f>AA179+AB179+AC179</f>
        <v>1253.5</v>
      </c>
      <c r="AA179" s="58"/>
      <c r="AB179" s="58">
        <f>TRUNC(D179/100*J179,1)</f>
        <v>1253.5</v>
      </c>
      <c r="AC179" s="58"/>
      <c r="AD179" s="22" t="s">
        <v>962</v>
      </c>
    </row>
    <row r="180" spans="2:30" ht="19.7" customHeight="1" x14ac:dyDescent="0.2">
      <c r="B180" s="57" t="s">
        <v>78</v>
      </c>
      <c r="C180" s="19" t="s">
        <v>962</v>
      </c>
      <c r="D180" s="92">
        <v>1</v>
      </c>
      <c r="E180" s="88"/>
      <c r="F180" s="88"/>
      <c r="G180" s="53" t="s">
        <v>889</v>
      </c>
      <c r="H180" s="53" t="s">
        <v>812</v>
      </c>
      <c r="I180" s="88">
        <f>노임단가!F24</f>
        <v>226709</v>
      </c>
      <c r="J180" s="88"/>
      <c r="K180" s="88"/>
      <c r="L180" s="88"/>
      <c r="M180" s="53" t="s">
        <v>812</v>
      </c>
      <c r="N180" s="88" t="s">
        <v>683</v>
      </c>
      <c r="O180" s="88"/>
      <c r="P180" s="88"/>
      <c r="Q180" s="88"/>
      <c r="R180" s="88"/>
      <c r="S180" s="88"/>
      <c r="T180" s="88"/>
      <c r="U180" s="88"/>
      <c r="V180" s="88"/>
      <c r="W180" s="53"/>
      <c r="X180" s="53"/>
      <c r="Y180" s="53"/>
      <c r="Z180" s="54">
        <f>AA180+AB180+AC180</f>
        <v>47231</v>
      </c>
      <c r="AA180" s="58">
        <f>TRUNC(D180*I180*기계경비적용기준!E21,1)</f>
        <v>47231</v>
      </c>
      <c r="AB180" s="58"/>
      <c r="AC180" s="58"/>
      <c r="AD180" s="22" t="s">
        <v>962</v>
      </c>
    </row>
    <row r="181" spans="2:30" ht="19.7" customHeight="1" x14ac:dyDescent="0.2">
      <c r="B181" s="57" t="s">
        <v>962</v>
      </c>
      <c r="C181" s="19" t="s">
        <v>962</v>
      </c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27"/>
      <c r="AA181" s="21"/>
      <c r="AB181" s="21"/>
      <c r="AC181" s="21"/>
      <c r="AD181" s="22" t="s">
        <v>962</v>
      </c>
    </row>
    <row r="182" spans="2:30" ht="19.7" customHeight="1" x14ac:dyDescent="0.2">
      <c r="B182" s="51" t="s">
        <v>802</v>
      </c>
      <c r="C182" s="52" t="s">
        <v>953</v>
      </c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4">
        <f>AA182+AB182+AC182</f>
        <v>100239</v>
      </c>
      <c r="AA182" s="55">
        <f>TRUNC(AA183+AA184+AA185+AA186)</f>
        <v>55699</v>
      </c>
      <c r="AB182" s="55">
        <f>TRUNC(AB183+AB184+AB185+AB186)</f>
        <v>28187</v>
      </c>
      <c r="AC182" s="55">
        <f>TRUNC(AC183+AC184+AC185+AC186)</f>
        <v>16353</v>
      </c>
      <c r="AD182" s="56"/>
    </row>
    <row r="183" spans="2:30" ht="19.7" customHeight="1" x14ac:dyDescent="0.2">
      <c r="B183" s="57" t="s">
        <v>146</v>
      </c>
      <c r="C183" s="19" t="s">
        <v>953</v>
      </c>
      <c r="D183" s="88">
        <v>63483000</v>
      </c>
      <c r="E183" s="88"/>
      <c r="F183" s="88"/>
      <c r="G183" s="88"/>
      <c r="H183" s="88"/>
      <c r="I183" s="88" t="s">
        <v>195</v>
      </c>
      <c r="J183" s="88"/>
      <c r="K183" s="88">
        <v>2576</v>
      </c>
      <c r="L183" s="88"/>
      <c r="M183" s="88"/>
      <c r="N183" s="53" t="s">
        <v>812</v>
      </c>
      <c r="O183" s="88" t="s">
        <v>863</v>
      </c>
      <c r="P183" s="88"/>
      <c r="Q183" s="88"/>
      <c r="R183" s="53"/>
      <c r="S183" s="53"/>
      <c r="T183" s="53"/>
      <c r="U183" s="53"/>
      <c r="V183" s="53"/>
      <c r="W183" s="53"/>
      <c r="X183" s="53"/>
      <c r="Y183" s="53"/>
      <c r="Z183" s="54">
        <f>AA183+AB183+AC183</f>
        <v>16353.2</v>
      </c>
      <c r="AA183" s="58"/>
      <c r="AB183" s="58"/>
      <c r="AC183" s="58">
        <f>TRUNC(D183*K183*0.0000001,1)</f>
        <v>16353.2</v>
      </c>
      <c r="AD183" s="22" t="s">
        <v>936</v>
      </c>
    </row>
    <row r="184" spans="2:30" ht="19.7" customHeight="1" x14ac:dyDescent="0.2">
      <c r="B184" s="57" t="s">
        <v>160</v>
      </c>
      <c r="C184" s="19" t="s">
        <v>962</v>
      </c>
      <c r="D184" s="90">
        <v>16.5</v>
      </c>
      <c r="E184" s="88"/>
      <c r="F184" s="88"/>
      <c r="G184" s="88"/>
      <c r="H184" s="53" t="s">
        <v>769</v>
      </c>
      <c r="I184" s="53" t="s">
        <v>812</v>
      </c>
      <c r="J184" s="88">
        <f>자재단가!R27</f>
        <v>1229</v>
      </c>
      <c r="K184" s="88"/>
      <c r="L184" s="88"/>
      <c r="M184" s="88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4">
        <f>AA184+AB184+AC184</f>
        <v>20278.5</v>
      </c>
      <c r="AA184" s="58"/>
      <c r="AB184" s="58">
        <f>TRUNC(D184*J184,1)</f>
        <v>20278.5</v>
      </c>
      <c r="AC184" s="58"/>
      <c r="AD184" s="22" t="s">
        <v>962</v>
      </c>
    </row>
    <row r="185" spans="2:30" ht="19.7" customHeight="1" x14ac:dyDescent="0.2">
      <c r="B185" s="57" t="s">
        <v>85</v>
      </c>
      <c r="C185" s="19" t="s">
        <v>557</v>
      </c>
      <c r="D185" s="90">
        <v>39</v>
      </c>
      <c r="E185" s="88"/>
      <c r="F185" s="88"/>
      <c r="G185" s="88"/>
      <c r="H185" s="53" t="s">
        <v>210</v>
      </c>
      <c r="I185" s="53" t="s">
        <v>812</v>
      </c>
      <c r="J185" s="88">
        <f>AB184</f>
        <v>20278.5</v>
      </c>
      <c r="K185" s="88"/>
      <c r="L185" s="88"/>
      <c r="M185" s="88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4">
        <f>AA185+AB185+AC185</f>
        <v>7908.6</v>
      </c>
      <c r="AA185" s="58"/>
      <c r="AB185" s="58">
        <f>TRUNC(D185/100*J185,1)</f>
        <v>7908.6</v>
      </c>
      <c r="AC185" s="58"/>
      <c r="AD185" s="22" t="s">
        <v>962</v>
      </c>
    </row>
    <row r="186" spans="2:30" ht="19.7" customHeight="1" x14ac:dyDescent="0.2">
      <c r="B186" s="57" t="s">
        <v>237</v>
      </c>
      <c r="C186" s="19" t="s">
        <v>962</v>
      </c>
      <c r="D186" s="92">
        <v>1</v>
      </c>
      <c r="E186" s="88"/>
      <c r="F186" s="88"/>
      <c r="G186" s="53" t="s">
        <v>889</v>
      </c>
      <c r="H186" s="53" t="s">
        <v>812</v>
      </c>
      <c r="I186" s="88">
        <f>노임단가!F23</f>
        <v>267360</v>
      </c>
      <c r="J186" s="88"/>
      <c r="K186" s="88"/>
      <c r="L186" s="88"/>
      <c r="M186" s="53" t="s">
        <v>812</v>
      </c>
      <c r="N186" s="88" t="s">
        <v>683</v>
      </c>
      <c r="O186" s="88"/>
      <c r="P186" s="88"/>
      <c r="Q186" s="88"/>
      <c r="R186" s="88"/>
      <c r="S186" s="88"/>
      <c r="T186" s="88"/>
      <c r="U186" s="88"/>
      <c r="V186" s="88"/>
      <c r="W186" s="53"/>
      <c r="X186" s="53"/>
      <c r="Y186" s="53"/>
      <c r="Z186" s="54">
        <f>AA186+AB186+AC186</f>
        <v>55699.9</v>
      </c>
      <c r="AA186" s="58">
        <f>TRUNC(D186*I186*기계경비적용기준!E21,1)</f>
        <v>55699.9</v>
      </c>
      <c r="AB186" s="58"/>
      <c r="AC186" s="58"/>
      <c r="AD186" s="22" t="s">
        <v>962</v>
      </c>
    </row>
    <row r="187" spans="2:30" ht="19.7" customHeight="1" x14ac:dyDescent="0.2">
      <c r="B187" s="57" t="s">
        <v>962</v>
      </c>
      <c r="C187" s="19" t="s">
        <v>962</v>
      </c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27"/>
      <c r="AA187" s="21"/>
      <c r="AB187" s="21"/>
      <c r="AC187" s="21"/>
      <c r="AD187" s="22" t="s">
        <v>962</v>
      </c>
    </row>
    <row r="188" spans="2:30" ht="19.7" customHeight="1" x14ac:dyDescent="0.2">
      <c r="B188" s="51" t="s">
        <v>544</v>
      </c>
      <c r="C188" s="52" t="s">
        <v>307</v>
      </c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4">
        <f>AA188+AB188+AC188</f>
        <v>126334</v>
      </c>
      <c r="AA188" s="55">
        <f>TRUNC(AA189+AA190+AA191+AA192)</f>
        <v>55699</v>
      </c>
      <c r="AB188" s="55">
        <f>TRUNC(AB189+AB190+AB191+AB192)</f>
        <v>17095</v>
      </c>
      <c r="AC188" s="55">
        <f>TRUNC(AC189+AC190+AC191+AC192)</f>
        <v>53540</v>
      </c>
      <c r="AD188" s="56"/>
    </row>
    <row r="189" spans="2:30" ht="19.7" customHeight="1" x14ac:dyDescent="0.2">
      <c r="B189" s="57" t="s">
        <v>370</v>
      </c>
      <c r="C189" s="19" t="s">
        <v>307</v>
      </c>
      <c r="D189" s="88">
        <v>226673000</v>
      </c>
      <c r="E189" s="88"/>
      <c r="F189" s="88"/>
      <c r="G189" s="88"/>
      <c r="H189" s="88"/>
      <c r="I189" s="88" t="s">
        <v>195</v>
      </c>
      <c r="J189" s="88"/>
      <c r="K189" s="88">
        <v>2362</v>
      </c>
      <c r="L189" s="88"/>
      <c r="M189" s="88"/>
      <c r="N189" s="53" t="s">
        <v>812</v>
      </c>
      <c r="O189" s="88" t="s">
        <v>863</v>
      </c>
      <c r="P189" s="88"/>
      <c r="Q189" s="88"/>
      <c r="R189" s="53"/>
      <c r="S189" s="53"/>
      <c r="T189" s="53"/>
      <c r="U189" s="53"/>
      <c r="V189" s="53"/>
      <c r="W189" s="53"/>
      <c r="X189" s="53"/>
      <c r="Y189" s="53"/>
      <c r="Z189" s="54">
        <f>AA189+AB189+AC189</f>
        <v>53540.1</v>
      </c>
      <c r="AA189" s="58"/>
      <c r="AB189" s="58"/>
      <c r="AC189" s="58">
        <f>TRUNC(D189*K189*0.0000001,1)</f>
        <v>53540.1</v>
      </c>
      <c r="AD189" s="22" t="s">
        <v>936</v>
      </c>
    </row>
    <row r="190" spans="2:30" ht="19.7" customHeight="1" x14ac:dyDescent="0.2">
      <c r="B190" s="57" t="s">
        <v>160</v>
      </c>
      <c r="C190" s="19" t="s">
        <v>962</v>
      </c>
      <c r="D190" s="90">
        <v>13</v>
      </c>
      <c r="E190" s="88"/>
      <c r="F190" s="88"/>
      <c r="G190" s="88"/>
      <c r="H190" s="53" t="s">
        <v>769</v>
      </c>
      <c r="I190" s="53" t="s">
        <v>812</v>
      </c>
      <c r="J190" s="88">
        <f>자재단가!R27</f>
        <v>1229</v>
      </c>
      <c r="K190" s="88"/>
      <c r="L190" s="88"/>
      <c r="M190" s="88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4">
        <f>AA190+AB190+AC190</f>
        <v>15977</v>
      </c>
      <c r="AA190" s="58"/>
      <c r="AB190" s="58">
        <f>TRUNC(D190*J190,1)</f>
        <v>15977</v>
      </c>
      <c r="AC190" s="58"/>
      <c r="AD190" s="22" t="s">
        <v>962</v>
      </c>
    </row>
    <row r="191" spans="2:30" ht="19.7" customHeight="1" x14ac:dyDescent="0.2">
      <c r="B191" s="57" t="s">
        <v>85</v>
      </c>
      <c r="C191" s="19" t="s">
        <v>557</v>
      </c>
      <c r="D191" s="90">
        <v>7</v>
      </c>
      <c r="E191" s="88"/>
      <c r="F191" s="88"/>
      <c r="G191" s="88"/>
      <c r="H191" s="53" t="s">
        <v>210</v>
      </c>
      <c r="I191" s="53" t="s">
        <v>812</v>
      </c>
      <c r="J191" s="88">
        <f>AB190</f>
        <v>15977</v>
      </c>
      <c r="K191" s="88"/>
      <c r="L191" s="88"/>
      <c r="M191" s="88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4">
        <f>AA191+AB191+AC191</f>
        <v>1118.3</v>
      </c>
      <c r="AA191" s="58"/>
      <c r="AB191" s="58">
        <f>TRUNC(D191/100*J191,1)</f>
        <v>1118.3</v>
      </c>
      <c r="AC191" s="58"/>
      <c r="AD191" s="22" t="s">
        <v>962</v>
      </c>
    </row>
    <row r="192" spans="2:30" ht="19.7" customHeight="1" x14ac:dyDescent="0.2">
      <c r="B192" s="57" t="s">
        <v>237</v>
      </c>
      <c r="C192" s="19" t="s">
        <v>962</v>
      </c>
      <c r="D192" s="92">
        <v>1</v>
      </c>
      <c r="E192" s="88"/>
      <c r="F192" s="88"/>
      <c r="G192" s="53" t="s">
        <v>889</v>
      </c>
      <c r="H192" s="53" t="s">
        <v>812</v>
      </c>
      <c r="I192" s="88">
        <f>노임단가!F23</f>
        <v>267360</v>
      </c>
      <c r="J192" s="88"/>
      <c r="K192" s="88"/>
      <c r="L192" s="88"/>
      <c r="M192" s="53" t="s">
        <v>812</v>
      </c>
      <c r="N192" s="88" t="s">
        <v>683</v>
      </c>
      <c r="O192" s="88"/>
      <c r="P192" s="88"/>
      <c r="Q192" s="88"/>
      <c r="R192" s="88"/>
      <c r="S192" s="88"/>
      <c r="T192" s="88"/>
      <c r="U192" s="88"/>
      <c r="V192" s="88"/>
      <c r="W192" s="53"/>
      <c r="X192" s="53"/>
      <c r="Y192" s="53"/>
      <c r="Z192" s="54">
        <f>AA192+AB192+AC192</f>
        <v>55699.9</v>
      </c>
      <c r="AA192" s="58">
        <f>TRUNC(D192*I192*기계경비적용기준!E21,1)</f>
        <v>55699.9</v>
      </c>
      <c r="AB192" s="58"/>
      <c r="AC192" s="58"/>
      <c r="AD192" s="22" t="s">
        <v>962</v>
      </c>
    </row>
    <row r="193" spans="2:30" ht="19.7" customHeight="1" x14ac:dyDescent="0.2">
      <c r="B193" s="57" t="s">
        <v>962</v>
      </c>
      <c r="C193" s="19" t="s">
        <v>962</v>
      </c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27"/>
      <c r="AA193" s="21"/>
      <c r="AB193" s="21"/>
      <c r="AC193" s="21"/>
      <c r="AD193" s="22" t="s">
        <v>962</v>
      </c>
    </row>
    <row r="194" spans="2:30" ht="19.7" customHeight="1" x14ac:dyDescent="0.2">
      <c r="B194" s="51" t="s">
        <v>1</v>
      </c>
      <c r="C194" s="52" t="s">
        <v>691</v>
      </c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4">
        <f>AA194+AB194+AC194</f>
        <v>87511</v>
      </c>
      <c r="AA194" s="55">
        <f>TRUNC(AA195+AA196+AA197+AA198)</f>
        <v>55699</v>
      </c>
      <c r="AB194" s="55">
        <f>TRUNC(AB195+AB196+AB197+AB198)</f>
        <v>16745</v>
      </c>
      <c r="AC194" s="55">
        <f>TRUNC(AC195+AC196+AC197+AC198)</f>
        <v>15067</v>
      </c>
      <c r="AD194" s="56"/>
    </row>
    <row r="195" spans="2:30" ht="19.7" customHeight="1" x14ac:dyDescent="0.2">
      <c r="B195" s="57" t="s">
        <v>897</v>
      </c>
      <c r="C195" s="19" t="s">
        <v>691</v>
      </c>
      <c r="D195" s="88">
        <v>58650000</v>
      </c>
      <c r="E195" s="88"/>
      <c r="F195" s="88"/>
      <c r="G195" s="88"/>
      <c r="H195" s="88"/>
      <c r="I195" s="88" t="s">
        <v>195</v>
      </c>
      <c r="J195" s="88"/>
      <c r="K195" s="88">
        <v>2569</v>
      </c>
      <c r="L195" s="88"/>
      <c r="M195" s="88"/>
      <c r="N195" s="53" t="s">
        <v>812</v>
      </c>
      <c r="O195" s="88" t="s">
        <v>863</v>
      </c>
      <c r="P195" s="88"/>
      <c r="Q195" s="88"/>
      <c r="R195" s="53"/>
      <c r="S195" s="53"/>
      <c r="T195" s="53"/>
      <c r="U195" s="53"/>
      <c r="V195" s="53"/>
      <c r="W195" s="53"/>
      <c r="X195" s="53"/>
      <c r="Y195" s="53"/>
      <c r="Z195" s="54">
        <f>AA195+AB195+AC195</f>
        <v>15067.1</v>
      </c>
      <c r="AA195" s="58"/>
      <c r="AB195" s="58"/>
      <c r="AC195" s="58">
        <f>TRUNC(D195*K195*0.0000001,1)</f>
        <v>15067.1</v>
      </c>
      <c r="AD195" s="22" t="s">
        <v>936</v>
      </c>
    </row>
    <row r="196" spans="2:30" ht="19.7" customHeight="1" x14ac:dyDescent="0.2">
      <c r="B196" s="57" t="s">
        <v>160</v>
      </c>
      <c r="C196" s="19" t="s">
        <v>962</v>
      </c>
      <c r="D196" s="90">
        <v>10.9</v>
      </c>
      <c r="E196" s="88"/>
      <c r="F196" s="88"/>
      <c r="G196" s="88"/>
      <c r="H196" s="53" t="s">
        <v>769</v>
      </c>
      <c r="I196" s="53" t="s">
        <v>812</v>
      </c>
      <c r="J196" s="88">
        <f>자재단가!R27</f>
        <v>1229</v>
      </c>
      <c r="K196" s="88"/>
      <c r="L196" s="88"/>
      <c r="M196" s="88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4">
        <f>AA196+AB196+AC196</f>
        <v>13396.1</v>
      </c>
      <c r="AA196" s="58"/>
      <c r="AB196" s="58">
        <f>TRUNC(D196*J196,1)</f>
        <v>13396.1</v>
      </c>
      <c r="AC196" s="58"/>
      <c r="AD196" s="22" t="s">
        <v>962</v>
      </c>
    </row>
    <row r="197" spans="2:30" ht="19.7" customHeight="1" x14ac:dyDescent="0.2">
      <c r="B197" s="57" t="s">
        <v>85</v>
      </c>
      <c r="C197" s="19" t="s">
        <v>557</v>
      </c>
      <c r="D197" s="90">
        <v>25</v>
      </c>
      <c r="E197" s="88"/>
      <c r="F197" s="88"/>
      <c r="G197" s="88"/>
      <c r="H197" s="53" t="s">
        <v>210</v>
      </c>
      <c r="I197" s="53" t="s">
        <v>812</v>
      </c>
      <c r="J197" s="88">
        <f>AB196</f>
        <v>13396.1</v>
      </c>
      <c r="K197" s="88"/>
      <c r="L197" s="88"/>
      <c r="M197" s="88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4">
        <f>AA197+AB197+AC197</f>
        <v>3349</v>
      </c>
      <c r="AA197" s="58"/>
      <c r="AB197" s="58">
        <f>TRUNC(D197/100*J197,1)</f>
        <v>3349</v>
      </c>
      <c r="AC197" s="58"/>
      <c r="AD197" s="22" t="s">
        <v>962</v>
      </c>
    </row>
    <row r="198" spans="2:30" ht="19.7" customHeight="1" x14ac:dyDescent="0.2">
      <c r="B198" s="57" t="s">
        <v>237</v>
      </c>
      <c r="C198" s="19" t="s">
        <v>962</v>
      </c>
      <c r="D198" s="92">
        <v>1</v>
      </c>
      <c r="E198" s="88"/>
      <c r="F198" s="88"/>
      <c r="G198" s="53" t="s">
        <v>889</v>
      </c>
      <c r="H198" s="53" t="s">
        <v>812</v>
      </c>
      <c r="I198" s="88">
        <f>노임단가!F23</f>
        <v>267360</v>
      </c>
      <c r="J198" s="88"/>
      <c r="K198" s="88"/>
      <c r="L198" s="88"/>
      <c r="M198" s="53" t="s">
        <v>812</v>
      </c>
      <c r="N198" s="88" t="s">
        <v>683</v>
      </c>
      <c r="O198" s="88"/>
      <c r="P198" s="88"/>
      <c r="Q198" s="88"/>
      <c r="R198" s="88"/>
      <c r="S198" s="88"/>
      <c r="T198" s="88"/>
      <c r="U198" s="88"/>
      <c r="V198" s="88"/>
      <c r="W198" s="53"/>
      <c r="X198" s="53"/>
      <c r="Y198" s="53"/>
      <c r="Z198" s="54">
        <f>AA198+AB198+AC198</f>
        <v>55699.9</v>
      </c>
      <c r="AA198" s="58">
        <f>TRUNC(D198*I198*기계경비적용기준!E21,1)</f>
        <v>55699.9</v>
      </c>
      <c r="AB198" s="58"/>
      <c r="AC198" s="58"/>
      <c r="AD198" s="22" t="s">
        <v>962</v>
      </c>
    </row>
    <row r="199" spans="2:30" ht="19.7" customHeight="1" x14ac:dyDescent="0.2">
      <c r="B199" s="57" t="s">
        <v>962</v>
      </c>
      <c r="C199" s="19" t="s">
        <v>962</v>
      </c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27"/>
      <c r="AA199" s="21"/>
      <c r="AB199" s="21"/>
      <c r="AC199" s="21"/>
      <c r="AD199" s="22" t="s">
        <v>962</v>
      </c>
    </row>
    <row r="200" spans="2:30" ht="19.7" customHeight="1" x14ac:dyDescent="0.2">
      <c r="B200" s="62" t="s">
        <v>793</v>
      </c>
      <c r="C200" s="63" t="s">
        <v>788</v>
      </c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60">
        <f>AA200+AB200+AC200</f>
        <v>36124</v>
      </c>
      <c r="AA200" s="64">
        <f>TRUNC(AA201+AA202+AA203+AA204)</f>
        <v>33571</v>
      </c>
      <c r="AB200" s="64">
        <f>TRUNC(AB201+AB202+AB203+AB204)</f>
        <v>1810</v>
      </c>
      <c r="AC200" s="64">
        <f>TRUNC(AC201+AC202+AC203+AC204)</f>
        <v>743</v>
      </c>
      <c r="AD200" s="12"/>
    </row>
    <row r="201" spans="2:30" ht="19.7" customHeight="1" x14ac:dyDescent="0.2">
      <c r="B201" s="57" t="s">
        <v>431</v>
      </c>
      <c r="C201" s="19" t="s">
        <v>788</v>
      </c>
      <c r="D201" s="88">
        <v>2917000</v>
      </c>
      <c r="E201" s="88"/>
      <c r="F201" s="88"/>
      <c r="G201" s="88"/>
      <c r="H201" s="88"/>
      <c r="I201" s="88" t="s">
        <v>195</v>
      </c>
      <c r="J201" s="88"/>
      <c r="K201" s="88">
        <v>2549</v>
      </c>
      <c r="L201" s="88"/>
      <c r="M201" s="88"/>
      <c r="N201" s="53" t="s">
        <v>812</v>
      </c>
      <c r="O201" s="88" t="s">
        <v>863</v>
      </c>
      <c r="P201" s="88"/>
      <c r="Q201" s="88"/>
      <c r="R201" s="53"/>
      <c r="S201" s="53"/>
      <c r="T201" s="53"/>
      <c r="U201" s="53"/>
      <c r="V201" s="53"/>
      <c r="W201" s="53"/>
      <c r="X201" s="53"/>
      <c r="Y201" s="53"/>
      <c r="Z201" s="54">
        <f>AA201+AB201+AC201</f>
        <v>743.5</v>
      </c>
      <c r="AA201" s="58"/>
      <c r="AB201" s="58"/>
      <c r="AC201" s="58">
        <f>TRUNC(D201*K201*0.0000001,1)</f>
        <v>743.5</v>
      </c>
      <c r="AD201" s="22" t="s">
        <v>936</v>
      </c>
    </row>
    <row r="202" spans="2:30" ht="19.7" customHeight="1" x14ac:dyDescent="0.2">
      <c r="B202" s="57" t="s">
        <v>281</v>
      </c>
      <c r="C202" s="19" t="s">
        <v>962</v>
      </c>
      <c r="D202" s="90">
        <v>1.2</v>
      </c>
      <c r="E202" s="88"/>
      <c r="F202" s="88"/>
      <c r="G202" s="88"/>
      <c r="H202" s="53" t="s">
        <v>769</v>
      </c>
      <c r="I202" s="53" t="s">
        <v>812</v>
      </c>
      <c r="J202" s="88">
        <f>자재단가!R28</f>
        <v>1423</v>
      </c>
      <c r="K202" s="88"/>
      <c r="L202" s="88"/>
      <c r="M202" s="88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4">
        <f>AA202+AB202+AC202</f>
        <v>1707.6</v>
      </c>
      <c r="AA202" s="58"/>
      <c r="AB202" s="58">
        <f>TRUNC(D202*J202,1)</f>
        <v>1707.6</v>
      </c>
      <c r="AC202" s="58"/>
      <c r="AD202" s="22" t="s">
        <v>962</v>
      </c>
    </row>
    <row r="203" spans="2:30" ht="19.7" customHeight="1" x14ac:dyDescent="0.2">
      <c r="B203" s="57" t="s">
        <v>85</v>
      </c>
      <c r="C203" s="19" t="s">
        <v>557</v>
      </c>
      <c r="D203" s="90">
        <v>6</v>
      </c>
      <c r="E203" s="88"/>
      <c r="F203" s="88"/>
      <c r="G203" s="88"/>
      <c r="H203" s="53" t="s">
        <v>210</v>
      </c>
      <c r="I203" s="53" t="s">
        <v>812</v>
      </c>
      <c r="J203" s="88">
        <f>AB202</f>
        <v>1707.6</v>
      </c>
      <c r="K203" s="88"/>
      <c r="L203" s="88"/>
      <c r="M203" s="88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4">
        <f>AA203+AB203+AC203</f>
        <v>102.4</v>
      </c>
      <c r="AA203" s="58"/>
      <c r="AB203" s="58">
        <f>TRUNC(D203/100*J203,1)</f>
        <v>102.4</v>
      </c>
      <c r="AC203" s="58"/>
      <c r="AD203" s="22" t="s">
        <v>962</v>
      </c>
    </row>
    <row r="204" spans="2:30" ht="19.7" customHeight="1" x14ac:dyDescent="0.2">
      <c r="B204" s="57" t="s">
        <v>493</v>
      </c>
      <c r="C204" s="19" t="s">
        <v>962</v>
      </c>
      <c r="D204" s="92">
        <v>1</v>
      </c>
      <c r="E204" s="88"/>
      <c r="F204" s="88"/>
      <c r="G204" s="53" t="s">
        <v>889</v>
      </c>
      <c r="H204" s="53" t="s">
        <v>812</v>
      </c>
      <c r="I204" s="88">
        <f>노임단가!F25</f>
        <v>161142</v>
      </c>
      <c r="J204" s="88"/>
      <c r="K204" s="88"/>
      <c r="L204" s="88"/>
      <c r="M204" s="53" t="s">
        <v>812</v>
      </c>
      <c r="N204" s="88" t="s">
        <v>683</v>
      </c>
      <c r="O204" s="88"/>
      <c r="P204" s="88"/>
      <c r="Q204" s="88"/>
      <c r="R204" s="88"/>
      <c r="S204" s="88"/>
      <c r="T204" s="88"/>
      <c r="U204" s="88"/>
      <c r="V204" s="88"/>
      <c r="W204" s="53"/>
      <c r="X204" s="53"/>
      <c r="Y204" s="53"/>
      <c r="Z204" s="54">
        <f>AA204+AB204+AC204</f>
        <v>33571.199999999997</v>
      </c>
      <c r="AA204" s="58">
        <f>TRUNC(D204*I204*기계경비적용기준!E21,1)</f>
        <v>33571.199999999997</v>
      </c>
      <c r="AB204" s="58"/>
      <c r="AC204" s="58"/>
      <c r="AD204" s="22" t="s">
        <v>962</v>
      </c>
    </row>
    <row r="205" spans="2:30" ht="19.7" customHeight="1" x14ac:dyDescent="0.2">
      <c r="B205" s="57" t="s">
        <v>962</v>
      </c>
      <c r="C205" s="19" t="s">
        <v>962</v>
      </c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27"/>
      <c r="AA205" s="21"/>
      <c r="AB205" s="21"/>
      <c r="AC205" s="21"/>
      <c r="AD205" s="22" t="s">
        <v>962</v>
      </c>
    </row>
    <row r="206" spans="2:30" ht="19.7" customHeight="1" x14ac:dyDescent="0.2">
      <c r="B206" s="51" t="s">
        <v>36</v>
      </c>
      <c r="C206" s="52" t="s">
        <v>245</v>
      </c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4">
        <f>AA206+AB206+AC206</f>
        <v>36518</v>
      </c>
      <c r="AA206" s="55">
        <f>TRUNC(AA207+AA208+AA209+AA210)</f>
        <v>33571</v>
      </c>
      <c r="AB206" s="55">
        <f>TRUNC(AB207+AB208+AB209+AB210)</f>
        <v>1886</v>
      </c>
      <c r="AC206" s="55">
        <f>TRUNC(AC207+AC208+AC209+AC210)</f>
        <v>1061</v>
      </c>
      <c r="AD206" s="56"/>
    </row>
    <row r="207" spans="2:30" ht="19.7" customHeight="1" x14ac:dyDescent="0.2">
      <c r="B207" s="57" t="s">
        <v>119</v>
      </c>
      <c r="C207" s="19" t="s">
        <v>245</v>
      </c>
      <c r="D207" s="88">
        <v>3492000</v>
      </c>
      <c r="E207" s="88"/>
      <c r="F207" s="88"/>
      <c r="G207" s="88"/>
      <c r="H207" s="88"/>
      <c r="I207" s="88" t="s">
        <v>195</v>
      </c>
      <c r="J207" s="88"/>
      <c r="K207" s="88">
        <v>3039</v>
      </c>
      <c r="L207" s="88"/>
      <c r="M207" s="88"/>
      <c r="N207" s="53" t="s">
        <v>812</v>
      </c>
      <c r="O207" s="88" t="s">
        <v>863</v>
      </c>
      <c r="P207" s="88"/>
      <c r="Q207" s="88"/>
      <c r="R207" s="53"/>
      <c r="S207" s="53"/>
      <c r="T207" s="53"/>
      <c r="U207" s="53"/>
      <c r="V207" s="53"/>
      <c r="W207" s="53"/>
      <c r="X207" s="53"/>
      <c r="Y207" s="53"/>
      <c r="Z207" s="54">
        <f>AA207+AB207+AC207</f>
        <v>1061.2</v>
      </c>
      <c r="AA207" s="58"/>
      <c r="AB207" s="58"/>
      <c r="AC207" s="58">
        <f>TRUNC(D207*K207*0.0000001,1)</f>
        <v>1061.2</v>
      </c>
      <c r="AD207" s="22" t="s">
        <v>936</v>
      </c>
    </row>
    <row r="208" spans="2:30" ht="19.7" customHeight="1" x14ac:dyDescent="0.2">
      <c r="B208" s="57" t="s">
        <v>281</v>
      </c>
      <c r="C208" s="19" t="s">
        <v>962</v>
      </c>
      <c r="D208" s="90">
        <v>1.3</v>
      </c>
      <c r="E208" s="88"/>
      <c r="F208" s="88"/>
      <c r="G208" s="88"/>
      <c r="H208" s="53" t="s">
        <v>769</v>
      </c>
      <c r="I208" s="53" t="s">
        <v>812</v>
      </c>
      <c r="J208" s="88">
        <f>자재단가!R28</f>
        <v>1423</v>
      </c>
      <c r="K208" s="88"/>
      <c r="L208" s="88"/>
      <c r="M208" s="88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4">
        <f>AA208+AB208+AC208</f>
        <v>1849.9</v>
      </c>
      <c r="AA208" s="58"/>
      <c r="AB208" s="58">
        <f>TRUNC(D208*J208,1)</f>
        <v>1849.9</v>
      </c>
      <c r="AC208" s="58"/>
      <c r="AD208" s="22" t="s">
        <v>962</v>
      </c>
    </row>
    <row r="209" spans="2:30" ht="19.7" customHeight="1" x14ac:dyDescent="0.2">
      <c r="B209" s="57" t="s">
        <v>85</v>
      </c>
      <c r="C209" s="19" t="s">
        <v>557</v>
      </c>
      <c r="D209" s="90">
        <v>2</v>
      </c>
      <c r="E209" s="88"/>
      <c r="F209" s="88"/>
      <c r="G209" s="88"/>
      <c r="H209" s="53" t="s">
        <v>210</v>
      </c>
      <c r="I209" s="53" t="s">
        <v>812</v>
      </c>
      <c r="J209" s="88">
        <f>AB208</f>
        <v>1849.9</v>
      </c>
      <c r="K209" s="88"/>
      <c r="L209" s="88"/>
      <c r="M209" s="88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4">
        <f>AA209+AB209+AC209</f>
        <v>36.9</v>
      </c>
      <c r="AA209" s="58"/>
      <c r="AB209" s="58">
        <f>TRUNC(D209/100*J209,1)</f>
        <v>36.9</v>
      </c>
      <c r="AC209" s="58"/>
      <c r="AD209" s="22" t="s">
        <v>962</v>
      </c>
    </row>
    <row r="210" spans="2:30" ht="19.7" customHeight="1" x14ac:dyDescent="0.2">
      <c r="B210" s="57" t="s">
        <v>493</v>
      </c>
      <c r="C210" s="19" t="s">
        <v>962</v>
      </c>
      <c r="D210" s="92">
        <v>1</v>
      </c>
      <c r="E210" s="88"/>
      <c r="F210" s="88"/>
      <c r="G210" s="53" t="s">
        <v>889</v>
      </c>
      <c r="H210" s="53" t="s">
        <v>812</v>
      </c>
      <c r="I210" s="88">
        <f>노임단가!F25</f>
        <v>161142</v>
      </c>
      <c r="J210" s="88"/>
      <c r="K210" s="88"/>
      <c r="L210" s="88"/>
      <c r="M210" s="53" t="s">
        <v>812</v>
      </c>
      <c r="N210" s="88" t="s">
        <v>683</v>
      </c>
      <c r="O210" s="88"/>
      <c r="P210" s="88"/>
      <c r="Q210" s="88"/>
      <c r="R210" s="88"/>
      <c r="S210" s="88"/>
      <c r="T210" s="88"/>
      <c r="U210" s="88"/>
      <c r="V210" s="88"/>
      <c r="W210" s="53"/>
      <c r="X210" s="53"/>
      <c r="Y210" s="53"/>
      <c r="Z210" s="54">
        <f>AA210+AB210+AC210</f>
        <v>33571.199999999997</v>
      </c>
      <c r="AA210" s="58">
        <f>TRUNC(D210*I210*기계경비적용기준!E21,1)</f>
        <v>33571.199999999997</v>
      </c>
      <c r="AB210" s="58"/>
      <c r="AC210" s="58"/>
      <c r="AD210" s="22" t="s">
        <v>962</v>
      </c>
    </row>
    <row r="211" spans="2:30" ht="19.7" customHeight="1" x14ac:dyDescent="0.2">
      <c r="B211" s="57" t="s">
        <v>962</v>
      </c>
      <c r="C211" s="19" t="s">
        <v>962</v>
      </c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27"/>
      <c r="AA211" s="21"/>
      <c r="AB211" s="21"/>
      <c r="AC211" s="21"/>
      <c r="AD211" s="22" t="s">
        <v>962</v>
      </c>
    </row>
    <row r="212" spans="2:30" ht="19.7" customHeight="1" x14ac:dyDescent="0.2">
      <c r="B212" s="51" t="s">
        <v>807</v>
      </c>
      <c r="C212" s="52" t="s">
        <v>829</v>
      </c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4">
        <f>AA212+AB212+AC212</f>
        <v>45009</v>
      </c>
      <c r="AA212" s="55">
        <f>TRUNC(AA213+AA214+AA215+AA216)</f>
        <v>33571</v>
      </c>
      <c r="AB212" s="55">
        <f>TRUNC(AB213+AB214+AB215+AB216)</f>
        <v>9562</v>
      </c>
      <c r="AC212" s="55">
        <f>TRUNC(AC213+AC214+AC215+AC216)</f>
        <v>1876</v>
      </c>
      <c r="AD212" s="56"/>
    </row>
    <row r="213" spans="2:30" ht="19.7" customHeight="1" x14ac:dyDescent="0.2">
      <c r="B213" s="57" t="s">
        <v>387</v>
      </c>
      <c r="C213" s="19" t="s">
        <v>829</v>
      </c>
      <c r="D213" s="88">
        <v>2954000</v>
      </c>
      <c r="E213" s="88"/>
      <c r="F213" s="88"/>
      <c r="G213" s="88"/>
      <c r="H213" s="88"/>
      <c r="I213" s="88" t="s">
        <v>195</v>
      </c>
      <c r="J213" s="88"/>
      <c r="K213" s="88">
        <v>6354</v>
      </c>
      <c r="L213" s="88"/>
      <c r="M213" s="88"/>
      <c r="N213" s="53" t="s">
        <v>812</v>
      </c>
      <c r="O213" s="88" t="s">
        <v>863</v>
      </c>
      <c r="P213" s="88"/>
      <c r="Q213" s="88"/>
      <c r="R213" s="53"/>
      <c r="S213" s="53"/>
      <c r="T213" s="53"/>
      <c r="U213" s="53"/>
      <c r="V213" s="53"/>
      <c r="W213" s="53"/>
      <c r="X213" s="53"/>
      <c r="Y213" s="53"/>
      <c r="Z213" s="54">
        <f>AA213+AB213+AC213</f>
        <v>1876.9</v>
      </c>
      <c r="AA213" s="58"/>
      <c r="AB213" s="58"/>
      <c r="AC213" s="58">
        <f>TRUNC(D213*K213*0.0000001,1)</f>
        <v>1876.9</v>
      </c>
      <c r="AD213" s="22" t="s">
        <v>936</v>
      </c>
    </row>
    <row r="214" spans="2:30" ht="19.7" customHeight="1" x14ac:dyDescent="0.2">
      <c r="B214" s="57" t="s">
        <v>281</v>
      </c>
      <c r="C214" s="19" t="s">
        <v>962</v>
      </c>
      <c r="D214" s="90">
        <v>5.6</v>
      </c>
      <c r="E214" s="88"/>
      <c r="F214" s="88"/>
      <c r="G214" s="88"/>
      <c r="H214" s="53" t="s">
        <v>769</v>
      </c>
      <c r="I214" s="53" t="s">
        <v>812</v>
      </c>
      <c r="J214" s="88">
        <f>자재단가!R28</f>
        <v>1423</v>
      </c>
      <c r="K214" s="88"/>
      <c r="L214" s="88"/>
      <c r="M214" s="88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4">
        <f>AA214+AB214+AC214</f>
        <v>7968.8</v>
      </c>
      <c r="AA214" s="58"/>
      <c r="AB214" s="58">
        <f>TRUNC(D214*J214,1)</f>
        <v>7968.8</v>
      </c>
      <c r="AC214" s="58"/>
      <c r="AD214" s="22" t="s">
        <v>962</v>
      </c>
    </row>
    <row r="215" spans="2:30" ht="19.7" customHeight="1" x14ac:dyDescent="0.2">
      <c r="B215" s="57" t="s">
        <v>85</v>
      </c>
      <c r="C215" s="19" t="s">
        <v>557</v>
      </c>
      <c r="D215" s="90">
        <v>20</v>
      </c>
      <c r="E215" s="88"/>
      <c r="F215" s="88"/>
      <c r="G215" s="88"/>
      <c r="H215" s="53" t="s">
        <v>210</v>
      </c>
      <c r="I215" s="53" t="s">
        <v>812</v>
      </c>
      <c r="J215" s="88">
        <f>AB214</f>
        <v>7968.8</v>
      </c>
      <c r="K215" s="88"/>
      <c r="L215" s="88"/>
      <c r="M215" s="88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4">
        <f>AA215+AB215+AC215</f>
        <v>1593.7</v>
      </c>
      <c r="AA215" s="58"/>
      <c r="AB215" s="58">
        <f>TRUNC(D215/100*J215,1)</f>
        <v>1593.7</v>
      </c>
      <c r="AC215" s="58"/>
      <c r="AD215" s="22" t="s">
        <v>962</v>
      </c>
    </row>
    <row r="216" spans="2:30" ht="19.7" customHeight="1" x14ac:dyDescent="0.2">
      <c r="B216" s="57" t="s">
        <v>493</v>
      </c>
      <c r="C216" s="19" t="s">
        <v>962</v>
      </c>
      <c r="D216" s="92">
        <v>1</v>
      </c>
      <c r="E216" s="88"/>
      <c r="F216" s="88"/>
      <c r="G216" s="53" t="s">
        <v>889</v>
      </c>
      <c r="H216" s="53" t="s">
        <v>812</v>
      </c>
      <c r="I216" s="88">
        <f>노임단가!F25</f>
        <v>161142</v>
      </c>
      <c r="J216" s="88"/>
      <c r="K216" s="88"/>
      <c r="L216" s="88"/>
      <c r="M216" s="53" t="s">
        <v>812</v>
      </c>
      <c r="N216" s="88" t="s">
        <v>683</v>
      </c>
      <c r="O216" s="88"/>
      <c r="P216" s="88"/>
      <c r="Q216" s="88"/>
      <c r="R216" s="88"/>
      <c r="S216" s="88"/>
      <c r="T216" s="88"/>
      <c r="U216" s="88"/>
      <c r="V216" s="88"/>
      <c r="W216" s="53"/>
      <c r="X216" s="53"/>
      <c r="Y216" s="53"/>
      <c r="Z216" s="54">
        <f>AA216+AB216+AC216</f>
        <v>33571.199999999997</v>
      </c>
      <c r="AA216" s="58">
        <f>TRUNC(D216*I216*기계경비적용기준!E21,1)</f>
        <v>33571.199999999997</v>
      </c>
      <c r="AB216" s="58"/>
      <c r="AC216" s="58"/>
      <c r="AD216" s="22" t="s">
        <v>962</v>
      </c>
    </row>
    <row r="217" spans="2:30" ht="19.7" customHeight="1" x14ac:dyDescent="0.2">
      <c r="B217" s="57" t="s">
        <v>962</v>
      </c>
      <c r="C217" s="19" t="s">
        <v>962</v>
      </c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27"/>
      <c r="AA217" s="21"/>
      <c r="AB217" s="21"/>
      <c r="AC217" s="21"/>
      <c r="AD217" s="22" t="s">
        <v>962</v>
      </c>
    </row>
    <row r="218" spans="2:30" ht="19.7" customHeight="1" x14ac:dyDescent="0.2">
      <c r="B218" s="51" t="s">
        <v>782</v>
      </c>
      <c r="C218" s="52" t="s">
        <v>152</v>
      </c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4">
        <f>AA218+AB218+AC218</f>
        <v>152473</v>
      </c>
      <c r="AA218" s="55">
        <f>TRUNC(AA219+AA220+AA221+AA222)</f>
        <v>55699</v>
      </c>
      <c r="AB218" s="55">
        <f>TRUNC(AB219+AB220+AB221+AB222)</f>
        <v>28703</v>
      </c>
      <c r="AC218" s="55">
        <f>TRUNC(AC219+AC220+AC221+AC222)</f>
        <v>68071</v>
      </c>
      <c r="AD218" s="56"/>
    </row>
    <row r="219" spans="2:30" ht="19.7" customHeight="1" x14ac:dyDescent="0.2">
      <c r="B219" s="57" t="s">
        <v>284</v>
      </c>
      <c r="C219" s="19" t="s">
        <v>152</v>
      </c>
      <c r="D219" s="88">
        <v>257846000</v>
      </c>
      <c r="E219" s="88"/>
      <c r="F219" s="88"/>
      <c r="G219" s="88"/>
      <c r="H219" s="88"/>
      <c r="I219" s="88" t="s">
        <v>195</v>
      </c>
      <c r="J219" s="88"/>
      <c r="K219" s="88">
        <v>2640</v>
      </c>
      <c r="L219" s="88"/>
      <c r="M219" s="88"/>
      <c r="N219" s="53" t="s">
        <v>812</v>
      </c>
      <c r="O219" s="88" t="s">
        <v>863</v>
      </c>
      <c r="P219" s="88"/>
      <c r="Q219" s="88"/>
      <c r="R219" s="53"/>
      <c r="S219" s="53"/>
      <c r="T219" s="53"/>
      <c r="U219" s="53"/>
      <c r="V219" s="53"/>
      <c r="W219" s="53"/>
      <c r="X219" s="53"/>
      <c r="Y219" s="53"/>
      <c r="Z219" s="54">
        <f>AA219+AB219+AC219</f>
        <v>68071.3</v>
      </c>
      <c r="AA219" s="58"/>
      <c r="AB219" s="58"/>
      <c r="AC219" s="58">
        <f>TRUNC(D219*K219*0.0000001,1)</f>
        <v>68071.3</v>
      </c>
      <c r="AD219" s="22" t="s">
        <v>936</v>
      </c>
    </row>
    <row r="220" spans="2:30" ht="19.7" customHeight="1" x14ac:dyDescent="0.2">
      <c r="B220" s="57" t="s">
        <v>160</v>
      </c>
      <c r="C220" s="19" t="s">
        <v>962</v>
      </c>
      <c r="D220" s="90">
        <v>17.3</v>
      </c>
      <c r="E220" s="88"/>
      <c r="F220" s="88"/>
      <c r="G220" s="88"/>
      <c r="H220" s="53" t="s">
        <v>769</v>
      </c>
      <c r="I220" s="53" t="s">
        <v>812</v>
      </c>
      <c r="J220" s="88">
        <f>자재단가!R27</f>
        <v>1229</v>
      </c>
      <c r="K220" s="88"/>
      <c r="L220" s="88"/>
      <c r="M220" s="88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4">
        <f>AA220+AB220+AC220</f>
        <v>21261.7</v>
      </c>
      <c r="AA220" s="58"/>
      <c r="AB220" s="58">
        <f>TRUNC(D220*J220,1)</f>
        <v>21261.7</v>
      </c>
      <c r="AC220" s="58"/>
      <c r="AD220" s="22" t="s">
        <v>962</v>
      </c>
    </row>
    <row r="221" spans="2:30" ht="19.7" customHeight="1" x14ac:dyDescent="0.2">
      <c r="B221" s="57" t="s">
        <v>217</v>
      </c>
      <c r="C221" s="19" t="s">
        <v>557</v>
      </c>
      <c r="D221" s="90">
        <v>35</v>
      </c>
      <c r="E221" s="88"/>
      <c r="F221" s="88"/>
      <c r="G221" s="88"/>
      <c r="H221" s="53" t="s">
        <v>210</v>
      </c>
      <c r="I221" s="53" t="s">
        <v>812</v>
      </c>
      <c r="J221" s="88">
        <f>AB220</f>
        <v>21261.7</v>
      </c>
      <c r="K221" s="88"/>
      <c r="L221" s="88"/>
      <c r="M221" s="88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4">
        <f>AA221+AB221+AC221</f>
        <v>7441.5</v>
      </c>
      <c r="AA221" s="58"/>
      <c r="AB221" s="58">
        <f>TRUNC(D221/100*J221,1)</f>
        <v>7441.5</v>
      </c>
      <c r="AC221" s="58"/>
      <c r="AD221" s="22" t="s">
        <v>962</v>
      </c>
    </row>
    <row r="222" spans="2:30" ht="19.7" customHeight="1" x14ac:dyDescent="0.2">
      <c r="B222" s="57" t="s">
        <v>237</v>
      </c>
      <c r="C222" s="19" t="s">
        <v>962</v>
      </c>
      <c r="D222" s="92">
        <v>1</v>
      </c>
      <c r="E222" s="88"/>
      <c r="F222" s="88"/>
      <c r="G222" s="53" t="s">
        <v>889</v>
      </c>
      <c r="H222" s="53" t="s">
        <v>812</v>
      </c>
      <c r="I222" s="88">
        <f>노임단가!F23</f>
        <v>267360</v>
      </c>
      <c r="J222" s="88"/>
      <c r="K222" s="88"/>
      <c r="L222" s="88"/>
      <c r="M222" s="53" t="s">
        <v>812</v>
      </c>
      <c r="N222" s="88" t="s">
        <v>683</v>
      </c>
      <c r="O222" s="88"/>
      <c r="P222" s="88"/>
      <c r="Q222" s="88"/>
      <c r="R222" s="88"/>
      <c r="S222" s="88"/>
      <c r="T222" s="88"/>
      <c r="U222" s="88"/>
      <c r="V222" s="88"/>
      <c r="W222" s="53"/>
      <c r="X222" s="53"/>
      <c r="Y222" s="53"/>
      <c r="Z222" s="54">
        <f>AA222+AB222+AC222</f>
        <v>55699.9</v>
      </c>
      <c r="AA222" s="58">
        <f>TRUNC(D222*I222*기계경비적용기준!E21,1)</f>
        <v>55699.9</v>
      </c>
      <c r="AB222" s="58"/>
      <c r="AC222" s="58"/>
      <c r="AD222" s="22" t="s">
        <v>962</v>
      </c>
    </row>
    <row r="223" spans="2:30" ht="19.7" customHeight="1" x14ac:dyDescent="0.2">
      <c r="B223" s="57" t="s">
        <v>962</v>
      </c>
      <c r="C223" s="19" t="s">
        <v>962</v>
      </c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27"/>
      <c r="AA223" s="21"/>
      <c r="AB223" s="21"/>
      <c r="AC223" s="21"/>
      <c r="AD223" s="22" t="s">
        <v>962</v>
      </c>
    </row>
    <row r="224" spans="2:30" ht="19.7" customHeight="1" x14ac:dyDescent="0.2">
      <c r="B224" s="51" t="s">
        <v>224</v>
      </c>
      <c r="C224" s="52" t="s">
        <v>636</v>
      </c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4">
        <f>AA224+AB224+AC224</f>
        <v>66817</v>
      </c>
      <c r="AA224" s="55">
        <f>TRUNC(AA225+AA226+AA227+AA228)</f>
        <v>55699</v>
      </c>
      <c r="AB224" s="55">
        <f>TRUNC(AB225+AB226+AB227+AB228)</f>
        <v>8838</v>
      </c>
      <c r="AC224" s="55">
        <f>TRUNC(AC225+AC226+AC227+AC228)</f>
        <v>2280</v>
      </c>
      <c r="AD224" s="56"/>
    </row>
    <row r="225" spans="2:30" ht="19.7" customHeight="1" x14ac:dyDescent="0.2">
      <c r="B225" s="57" t="s">
        <v>178</v>
      </c>
      <c r="C225" s="19" t="s">
        <v>636</v>
      </c>
      <c r="D225" s="88">
        <v>13265000</v>
      </c>
      <c r="E225" s="88"/>
      <c r="F225" s="88"/>
      <c r="G225" s="88"/>
      <c r="H225" s="88"/>
      <c r="I225" s="88" t="s">
        <v>195</v>
      </c>
      <c r="J225" s="88"/>
      <c r="K225" s="88">
        <v>1719</v>
      </c>
      <c r="L225" s="88"/>
      <c r="M225" s="88"/>
      <c r="N225" s="53" t="s">
        <v>812</v>
      </c>
      <c r="O225" s="88" t="s">
        <v>863</v>
      </c>
      <c r="P225" s="88"/>
      <c r="Q225" s="88"/>
      <c r="R225" s="53"/>
      <c r="S225" s="53"/>
      <c r="T225" s="53"/>
      <c r="U225" s="53"/>
      <c r="V225" s="53"/>
      <c r="W225" s="53"/>
      <c r="X225" s="53"/>
      <c r="Y225" s="53"/>
      <c r="Z225" s="54">
        <f>AA225+AB225+AC225</f>
        <v>2280.1999999999998</v>
      </c>
      <c r="AA225" s="58"/>
      <c r="AB225" s="58"/>
      <c r="AC225" s="58">
        <f>TRUNC(D225*K225*0.0000001,1)</f>
        <v>2280.1999999999998</v>
      </c>
      <c r="AD225" s="22" t="s">
        <v>936</v>
      </c>
    </row>
    <row r="226" spans="2:30" ht="19.7" customHeight="1" x14ac:dyDescent="0.2">
      <c r="B226" s="57" t="s">
        <v>160</v>
      </c>
      <c r="C226" s="19" t="s">
        <v>962</v>
      </c>
      <c r="D226" s="90">
        <v>6.2</v>
      </c>
      <c r="E226" s="88"/>
      <c r="F226" s="88"/>
      <c r="G226" s="88"/>
      <c r="H226" s="53" t="s">
        <v>769</v>
      </c>
      <c r="I226" s="53" t="s">
        <v>812</v>
      </c>
      <c r="J226" s="88">
        <f>자재단가!R27</f>
        <v>1229</v>
      </c>
      <c r="K226" s="88"/>
      <c r="L226" s="88"/>
      <c r="M226" s="88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4">
        <f>AA226+AB226+AC226</f>
        <v>7619.8</v>
      </c>
      <c r="AA226" s="58"/>
      <c r="AB226" s="58">
        <f>TRUNC(D226*J226,1)</f>
        <v>7619.8</v>
      </c>
      <c r="AC226" s="58"/>
      <c r="AD226" s="22" t="s">
        <v>962</v>
      </c>
    </row>
    <row r="227" spans="2:30" ht="19.7" customHeight="1" x14ac:dyDescent="0.2">
      <c r="B227" s="57" t="s">
        <v>85</v>
      </c>
      <c r="C227" s="19" t="s">
        <v>557</v>
      </c>
      <c r="D227" s="90">
        <v>16</v>
      </c>
      <c r="E227" s="88"/>
      <c r="F227" s="88"/>
      <c r="G227" s="88"/>
      <c r="H227" s="53" t="s">
        <v>210</v>
      </c>
      <c r="I227" s="53" t="s">
        <v>812</v>
      </c>
      <c r="J227" s="88">
        <f>AB226</f>
        <v>7619.8</v>
      </c>
      <c r="K227" s="88"/>
      <c r="L227" s="88"/>
      <c r="M227" s="88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4">
        <f>AA227+AB227+AC227</f>
        <v>1219.0999999999999</v>
      </c>
      <c r="AA227" s="58"/>
      <c r="AB227" s="58">
        <f>TRUNC(D227/100*J227,1)</f>
        <v>1219.0999999999999</v>
      </c>
      <c r="AC227" s="58"/>
      <c r="AD227" s="22" t="s">
        <v>962</v>
      </c>
    </row>
    <row r="228" spans="2:30" ht="19.7" customHeight="1" x14ac:dyDescent="0.2">
      <c r="B228" s="59" t="s">
        <v>237</v>
      </c>
      <c r="C228" s="24" t="s">
        <v>962</v>
      </c>
      <c r="D228" s="93">
        <v>1</v>
      </c>
      <c r="E228" s="89"/>
      <c r="F228" s="89"/>
      <c r="G228" s="9" t="s">
        <v>889</v>
      </c>
      <c r="H228" s="9" t="s">
        <v>812</v>
      </c>
      <c r="I228" s="89">
        <f>노임단가!F23</f>
        <v>267360</v>
      </c>
      <c r="J228" s="89"/>
      <c r="K228" s="89"/>
      <c r="L228" s="89"/>
      <c r="M228" s="9" t="s">
        <v>812</v>
      </c>
      <c r="N228" s="89" t="s">
        <v>683</v>
      </c>
      <c r="O228" s="89"/>
      <c r="P228" s="89"/>
      <c r="Q228" s="89"/>
      <c r="R228" s="89"/>
      <c r="S228" s="89"/>
      <c r="T228" s="89"/>
      <c r="U228" s="89"/>
      <c r="V228" s="89"/>
      <c r="W228" s="9"/>
      <c r="X228" s="9"/>
      <c r="Y228" s="9"/>
      <c r="Z228" s="60">
        <f>AA228+AB228+AC228</f>
        <v>55699.9</v>
      </c>
      <c r="AA228" s="61">
        <f>TRUNC(D228*I228*기계경비적용기준!E21,1)</f>
        <v>55699.9</v>
      </c>
      <c r="AB228" s="61"/>
      <c r="AC228" s="61"/>
      <c r="AD228" s="26" t="s">
        <v>962</v>
      </c>
    </row>
    <row r="229" spans="2:30" ht="19.7" customHeight="1" x14ac:dyDescent="0.2">
      <c r="B229" s="57" t="s">
        <v>962</v>
      </c>
      <c r="C229" s="19" t="s">
        <v>962</v>
      </c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27"/>
      <c r="AA229" s="21"/>
      <c r="AB229" s="21"/>
      <c r="AC229" s="21"/>
      <c r="AD229" s="22" t="s">
        <v>962</v>
      </c>
    </row>
    <row r="230" spans="2:30" ht="19.7" customHeight="1" x14ac:dyDescent="0.2">
      <c r="B230" s="51" t="s">
        <v>311</v>
      </c>
      <c r="C230" s="52" t="s">
        <v>403</v>
      </c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4">
        <f>AA230+AB230+AC230</f>
        <v>81417</v>
      </c>
      <c r="AA230" s="55">
        <f>TRUNC(AA231+AA232+AA233+AA234)</f>
        <v>55699</v>
      </c>
      <c r="AB230" s="55">
        <f>TRUNC(AB231+AB232+AB233+AB234)</f>
        <v>20244</v>
      </c>
      <c r="AC230" s="55">
        <f>TRUNC(AC231+AC232+AC233+AC234)</f>
        <v>5474</v>
      </c>
      <c r="AD230" s="56"/>
    </row>
    <row r="231" spans="2:30" ht="19.7" customHeight="1" x14ac:dyDescent="0.2">
      <c r="B231" s="57" t="s">
        <v>178</v>
      </c>
      <c r="C231" s="19" t="s">
        <v>403</v>
      </c>
      <c r="D231" s="88">
        <v>31848000</v>
      </c>
      <c r="E231" s="88"/>
      <c r="F231" s="88"/>
      <c r="G231" s="88"/>
      <c r="H231" s="88"/>
      <c r="I231" s="88" t="s">
        <v>195</v>
      </c>
      <c r="J231" s="88"/>
      <c r="K231" s="88">
        <v>1719</v>
      </c>
      <c r="L231" s="88"/>
      <c r="M231" s="88"/>
      <c r="N231" s="53" t="s">
        <v>812</v>
      </c>
      <c r="O231" s="88" t="s">
        <v>863</v>
      </c>
      <c r="P231" s="88"/>
      <c r="Q231" s="88"/>
      <c r="R231" s="53"/>
      <c r="S231" s="53"/>
      <c r="T231" s="53"/>
      <c r="U231" s="53"/>
      <c r="V231" s="53"/>
      <c r="W231" s="53"/>
      <c r="X231" s="53"/>
      <c r="Y231" s="53"/>
      <c r="Z231" s="54">
        <f>AA231+AB231+AC231</f>
        <v>5474.6</v>
      </c>
      <c r="AA231" s="58"/>
      <c r="AB231" s="58"/>
      <c r="AC231" s="58">
        <f>TRUNC(D231*K231*0.0000001,1)</f>
        <v>5474.6</v>
      </c>
      <c r="AD231" s="22" t="s">
        <v>936</v>
      </c>
    </row>
    <row r="232" spans="2:30" ht="19.7" customHeight="1" x14ac:dyDescent="0.2">
      <c r="B232" s="57" t="s">
        <v>160</v>
      </c>
      <c r="C232" s="19" t="s">
        <v>962</v>
      </c>
      <c r="D232" s="90">
        <v>14.2</v>
      </c>
      <c r="E232" s="88"/>
      <c r="F232" s="88"/>
      <c r="G232" s="88"/>
      <c r="H232" s="53" t="s">
        <v>769</v>
      </c>
      <c r="I232" s="53" t="s">
        <v>812</v>
      </c>
      <c r="J232" s="88">
        <f>자재단가!R27</f>
        <v>1229</v>
      </c>
      <c r="K232" s="88"/>
      <c r="L232" s="88"/>
      <c r="M232" s="88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4">
        <f>AA232+AB232+AC232</f>
        <v>17451.8</v>
      </c>
      <c r="AA232" s="58"/>
      <c r="AB232" s="58">
        <f>TRUNC(D232*J232,1)</f>
        <v>17451.8</v>
      </c>
      <c r="AC232" s="58"/>
      <c r="AD232" s="22" t="s">
        <v>962</v>
      </c>
    </row>
    <row r="233" spans="2:30" ht="19.7" customHeight="1" x14ac:dyDescent="0.2">
      <c r="B233" s="57" t="s">
        <v>85</v>
      </c>
      <c r="C233" s="19" t="s">
        <v>557</v>
      </c>
      <c r="D233" s="90">
        <v>16</v>
      </c>
      <c r="E233" s="88"/>
      <c r="F233" s="88"/>
      <c r="G233" s="88"/>
      <c r="H233" s="53" t="s">
        <v>210</v>
      </c>
      <c r="I233" s="53" t="s">
        <v>812</v>
      </c>
      <c r="J233" s="88">
        <f>AB232</f>
        <v>17451.8</v>
      </c>
      <c r="K233" s="88"/>
      <c r="L233" s="88"/>
      <c r="M233" s="88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4">
        <f>AA233+AB233+AC233</f>
        <v>2792.2</v>
      </c>
      <c r="AA233" s="58"/>
      <c r="AB233" s="58">
        <f>TRUNC(D233/100*J233,1)</f>
        <v>2792.2</v>
      </c>
      <c r="AC233" s="58"/>
      <c r="AD233" s="22" t="s">
        <v>962</v>
      </c>
    </row>
    <row r="234" spans="2:30" ht="19.7" customHeight="1" x14ac:dyDescent="0.2">
      <c r="B234" s="57" t="s">
        <v>237</v>
      </c>
      <c r="C234" s="19" t="s">
        <v>962</v>
      </c>
      <c r="D234" s="92">
        <v>1</v>
      </c>
      <c r="E234" s="88"/>
      <c r="F234" s="88"/>
      <c r="G234" s="53" t="s">
        <v>889</v>
      </c>
      <c r="H234" s="53" t="s">
        <v>812</v>
      </c>
      <c r="I234" s="88">
        <f>노임단가!F23</f>
        <v>267360</v>
      </c>
      <c r="J234" s="88"/>
      <c r="K234" s="88"/>
      <c r="L234" s="88"/>
      <c r="M234" s="53" t="s">
        <v>812</v>
      </c>
      <c r="N234" s="88" t="s">
        <v>683</v>
      </c>
      <c r="O234" s="88"/>
      <c r="P234" s="88"/>
      <c r="Q234" s="88"/>
      <c r="R234" s="88"/>
      <c r="S234" s="88"/>
      <c r="T234" s="88"/>
      <c r="U234" s="88"/>
      <c r="V234" s="88"/>
      <c r="W234" s="53"/>
      <c r="X234" s="53"/>
      <c r="Y234" s="53"/>
      <c r="Z234" s="54">
        <f>AA234+AB234+AC234</f>
        <v>55699.9</v>
      </c>
      <c r="AA234" s="58">
        <f>TRUNC(D234*I234*기계경비적용기준!E21,1)</f>
        <v>55699.9</v>
      </c>
      <c r="AB234" s="58"/>
      <c r="AC234" s="58"/>
      <c r="AD234" s="22" t="s">
        <v>962</v>
      </c>
    </row>
    <row r="235" spans="2:30" ht="19.7" customHeight="1" x14ac:dyDescent="0.2">
      <c r="B235" s="57" t="s">
        <v>962</v>
      </c>
      <c r="C235" s="19" t="s">
        <v>962</v>
      </c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27"/>
      <c r="AA235" s="21"/>
      <c r="AB235" s="21"/>
      <c r="AC235" s="21"/>
      <c r="AD235" s="22" t="s">
        <v>962</v>
      </c>
    </row>
    <row r="236" spans="2:30" ht="19.7" customHeight="1" x14ac:dyDescent="0.2">
      <c r="B236" s="51" t="s">
        <v>646</v>
      </c>
      <c r="C236" s="52" t="s">
        <v>887</v>
      </c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4">
        <f>AA236+AB236+AC236</f>
        <v>95191</v>
      </c>
      <c r="AA236" s="55">
        <f>TRUNC(AA237+AA238+AA239+AA240)</f>
        <v>55699</v>
      </c>
      <c r="AB236" s="55">
        <f>TRUNC(AB237+AB238+AB239+AB240)</f>
        <v>33502</v>
      </c>
      <c r="AC236" s="55">
        <f>TRUNC(AC237+AC238+AC239+AC240)</f>
        <v>5990</v>
      </c>
      <c r="AD236" s="56"/>
    </row>
    <row r="237" spans="2:30" ht="19.7" customHeight="1" x14ac:dyDescent="0.2">
      <c r="B237" s="57" t="s">
        <v>178</v>
      </c>
      <c r="C237" s="19" t="s">
        <v>887</v>
      </c>
      <c r="D237" s="88">
        <v>34848000</v>
      </c>
      <c r="E237" s="88"/>
      <c r="F237" s="88"/>
      <c r="G237" s="88"/>
      <c r="H237" s="88"/>
      <c r="I237" s="88" t="s">
        <v>195</v>
      </c>
      <c r="J237" s="88"/>
      <c r="K237" s="88">
        <v>1719</v>
      </c>
      <c r="L237" s="88"/>
      <c r="M237" s="88"/>
      <c r="N237" s="53" t="s">
        <v>812</v>
      </c>
      <c r="O237" s="88" t="s">
        <v>863</v>
      </c>
      <c r="P237" s="88"/>
      <c r="Q237" s="88"/>
      <c r="R237" s="53"/>
      <c r="S237" s="53"/>
      <c r="T237" s="53"/>
      <c r="U237" s="53"/>
      <c r="V237" s="53"/>
      <c r="W237" s="53"/>
      <c r="X237" s="53"/>
      <c r="Y237" s="53"/>
      <c r="Z237" s="54">
        <f>AA237+AB237+AC237</f>
        <v>5990.3</v>
      </c>
      <c r="AA237" s="58"/>
      <c r="AB237" s="58"/>
      <c r="AC237" s="58">
        <f>TRUNC(D237*K237*0.0000001,1)</f>
        <v>5990.3</v>
      </c>
      <c r="AD237" s="22" t="s">
        <v>936</v>
      </c>
    </row>
    <row r="238" spans="2:30" ht="19.7" customHeight="1" x14ac:dyDescent="0.2">
      <c r="B238" s="57" t="s">
        <v>160</v>
      </c>
      <c r="C238" s="19" t="s">
        <v>962</v>
      </c>
      <c r="D238" s="90">
        <v>23.5</v>
      </c>
      <c r="E238" s="88"/>
      <c r="F238" s="88"/>
      <c r="G238" s="88"/>
      <c r="H238" s="53" t="s">
        <v>769</v>
      </c>
      <c r="I238" s="53" t="s">
        <v>812</v>
      </c>
      <c r="J238" s="88">
        <f>자재단가!R27</f>
        <v>1229</v>
      </c>
      <c r="K238" s="88"/>
      <c r="L238" s="88"/>
      <c r="M238" s="88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4">
        <f>AA238+AB238+AC238</f>
        <v>28881.5</v>
      </c>
      <c r="AA238" s="58"/>
      <c r="AB238" s="58">
        <f>TRUNC(D238*J238,1)</f>
        <v>28881.5</v>
      </c>
      <c r="AC238" s="58"/>
      <c r="AD238" s="22" t="s">
        <v>962</v>
      </c>
    </row>
    <row r="239" spans="2:30" ht="19.7" customHeight="1" x14ac:dyDescent="0.2">
      <c r="B239" s="57" t="s">
        <v>85</v>
      </c>
      <c r="C239" s="19" t="s">
        <v>557</v>
      </c>
      <c r="D239" s="90">
        <v>16</v>
      </c>
      <c r="E239" s="88"/>
      <c r="F239" s="88"/>
      <c r="G239" s="88"/>
      <c r="H239" s="53" t="s">
        <v>210</v>
      </c>
      <c r="I239" s="53" t="s">
        <v>812</v>
      </c>
      <c r="J239" s="88">
        <f>AB238</f>
        <v>28881.5</v>
      </c>
      <c r="K239" s="88"/>
      <c r="L239" s="88"/>
      <c r="M239" s="88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4">
        <f>AA239+AB239+AC239</f>
        <v>4621</v>
      </c>
      <c r="AA239" s="58"/>
      <c r="AB239" s="58">
        <f>TRUNC(D239/100*J239,1)</f>
        <v>4621</v>
      </c>
      <c r="AC239" s="58"/>
      <c r="AD239" s="22" t="s">
        <v>962</v>
      </c>
    </row>
    <row r="240" spans="2:30" ht="19.7" customHeight="1" x14ac:dyDescent="0.2">
      <c r="B240" s="57" t="s">
        <v>237</v>
      </c>
      <c r="C240" s="19" t="s">
        <v>962</v>
      </c>
      <c r="D240" s="92">
        <v>1</v>
      </c>
      <c r="E240" s="88"/>
      <c r="F240" s="88"/>
      <c r="G240" s="53" t="s">
        <v>889</v>
      </c>
      <c r="H240" s="53" t="s">
        <v>812</v>
      </c>
      <c r="I240" s="88">
        <f>노임단가!F23</f>
        <v>267360</v>
      </c>
      <c r="J240" s="88"/>
      <c r="K240" s="88"/>
      <c r="L240" s="88"/>
      <c r="M240" s="53" t="s">
        <v>812</v>
      </c>
      <c r="N240" s="88" t="s">
        <v>683</v>
      </c>
      <c r="O240" s="88"/>
      <c r="P240" s="88"/>
      <c r="Q240" s="88"/>
      <c r="R240" s="88"/>
      <c r="S240" s="88"/>
      <c r="T240" s="88"/>
      <c r="U240" s="88"/>
      <c r="V240" s="88"/>
      <c r="W240" s="53"/>
      <c r="X240" s="53"/>
      <c r="Y240" s="53"/>
      <c r="Z240" s="54">
        <f>AA240+AB240+AC240</f>
        <v>55699.9</v>
      </c>
      <c r="AA240" s="58">
        <f>TRUNC(D240*I240*기계경비적용기준!E21,1)</f>
        <v>55699.9</v>
      </c>
      <c r="AB240" s="58"/>
      <c r="AC240" s="58"/>
      <c r="AD240" s="22" t="s">
        <v>962</v>
      </c>
    </row>
    <row r="241" spans="2:30" ht="19.7" customHeight="1" x14ac:dyDescent="0.2">
      <c r="B241" s="57" t="s">
        <v>962</v>
      </c>
      <c r="C241" s="19" t="s">
        <v>962</v>
      </c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27"/>
      <c r="AA241" s="21"/>
      <c r="AB241" s="21"/>
      <c r="AC241" s="21"/>
      <c r="AD241" s="22" t="s">
        <v>962</v>
      </c>
    </row>
    <row r="242" spans="2:30" ht="19.7" customHeight="1" x14ac:dyDescent="0.2">
      <c r="B242" s="51" t="s">
        <v>326</v>
      </c>
      <c r="C242" s="52" t="s">
        <v>172</v>
      </c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4">
        <f>AA242+AB242+AC242</f>
        <v>68014</v>
      </c>
      <c r="AA242" s="55">
        <f>TRUNC(AA243+AA244)</f>
        <v>55699</v>
      </c>
      <c r="AB242" s="55">
        <f>TRUNC(AB243+AB244)</f>
        <v>0</v>
      </c>
      <c r="AC242" s="55">
        <f>TRUNC(AC243+AC244)</f>
        <v>12315</v>
      </c>
      <c r="AD242" s="56"/>
    </row>
    <row r="243" spans="2:30" ht="19.7" customHeight="1" x14ac:dyDescent="0.2">
      <c r="B243" s="57" t="s">
        <v>131</v>
      </c>
      <c r="C243" s="19" t="s">
        <v>172</v>
      </c>
      <c r="D243" s="88">
        <v>49143000</v>
      </c>
      <c r="E243" s="88"/>
      <c r="F243" s="88"/>
      <c r="G243" s="88"/>
      <c r="H243" s="88"/>
      <c r="I243" s="88" t="s">
        <v>195</v>
      </c>
      <c r="J243" s="88"/>
      <c r="K243" s="88">
        <v>2506</v>
      </c>
      <c r="L243" s="88"/>
      <c r="M243" s="88"/>
      <c r="N243" s="53" t="s">
        <v>812</v>
      </c>
      <c r="O243" s="88" t="s">
        <v>863</v>
      </c>
      <c r="P243" s="88"/>
      <c r="Q243" s="88"/>
      <c r="R243" s="53"/>
      <c r="S243" s="53"/>
      <c r="T243" s="53"/>
      <c r="U243" s="53"/>
      <c r="V243" s="53"/>
      <c r="W243" s="53"/>
      <c r="X243" s="53"/>
      <c r="Y243" s="53"/>
      <c r="Z243" s="54">
        <f>AA243+AB243+AC243</f>
        <v>12315.2</v>
      </c>
      <c r="AA243" s="58"/>
      <c r="AB243" s="58"/>
      <c r="AC243" s="58">
        <f>TRUNC(D243*K243*0.0000001,1)</f>
        <v>12315.2</v>
      </c>
      <c r="AD243" s="22" t="s">
        <v>936</v>
      </c>
    </row>
    <row r="244" spans="2:30" ht="19.7" customHeight="1" x14ac:dyDescent="0.2">
      <c r="B244" s="57" t="s">
        <v>237</v>
      </c>
      <c r="C244" s="19" t="s">
        <v>962</v>
      </c>
      <c r="D244" s="92">
        <v>1</v>
      </c>
      <c r="E244" s="88"/>
      <c r="F244" s="88"/>
      <c r="G244" s="53" t="s">
        <v>889</v>
      </c>
      <c r="H244" s="53" t="s">
        <v>812</v>
      </c>
      <c r="I244" s="88">
        <f>노임단가!F23</f>
        <v>267360</v>
      </c>
      <c r="J244" s="88"/>
      <c r="K244" s="88"/>
      <c r="L244" s="88"/>
      <c r="M244" s="53" t="s">
        <v>812</v>
      </c>
      <c r="N244" s="88" t="s">
        <v>683</v>
      </c>
      <c r="O244" s="88"/>
      <c r="P244" s="88"/>
      <c r="Q244" s="88"/>
      <c r="R244" s="88"/>
      <c r="S244" s="88"/>
      <c r="T244" s="88"/>
      <c r="U244" s="88"/>
      <c r="V244" s="88"/>
      <c r="W244" s="53"/>
      <c r="X244" s="53"/>
      <c r="Y244" s="53"/>
      <c r="Z244" s="54">
        <f>AA244+AB244+AC244</f>
        <v>55699.9</v>
      </c>
      <c r="AA244" s="58">
        <f>TRUNC(D244*I244*기계경비적용기준!E21,1)</f>
        <v>55699.9</v>
      </c>
      <c r="AB244" s="58"/>
      <c r="AC244" s="58"/>
      <c r="AD244" s="22" t="s">
        <v>962</v>
      </c>
    </row>
    <row r="245" spans="2:30" ht="19.7" customHeight="1" x14ac:dyDescent="0.2">
      <c r="B245" s="57" t="s">
        <v>962</v>
      </c>
      <c r="C245" s="19" t="s">
        <v>962</v>
      </c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27"/>
      <c r="AA245" s="21"/>
      <c r="AB245" s="21"/>
      <c r="AC245" s="21"/>
      <c r="AD245" s="22" t="s">
        <v>962</v>
      </c>
    </row>
    <row r="246" spans="2:30" ht="19.7" customHeight="1" x14ac:dyDescent="0.2">
      <c r="B246" s="51" t="s">
        <v>234</v>
      </c>
      <c r="C246" s="52" t="s">
        <v>575</v>
      </c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4">
        <f t="shared" ref="Z246:Z251" si="4">AA246+AB246+AC246</f>
        <v>86452</v>
      </c>
      <c r="AA246" s="55">
        <f>TRUNC(AA247+AA248+AA249+AA250+AA251)</f>
        <v>55699</v>
      </c>
      <c r="AB246" s="55">
        <f>TRUNC(AB247+AB248+AB249+AB250+AB251)</f>
        <v>10972</v>
      </c>
      <c r="AC246" s="55">
        <f>TRUNC(AC247+AC248+AC249+AC250+AC251)</f>
        <v>19781</v>
      </c>
      <c r="AD246" s="56"/>
    </row>
    <row r="247" spans="2:30" ht="19.7" customHeight="1" x14ac:dyDescent="0.2">
      <c r="B247" s="57" t="s">
        <v>524</v>
      </c>
      <c r="C247" s="19" t="s">
        <v>575</v>
      </c>
      <c r="D247" s="88">
        <v>43453000</v>
      </c>
      <c r="E247" s="88"/>
      <c r="F247" s="88"/>
      <c r="G247" s="88"/>
      <c r="H247" s="88"/>
      <c r="I247" s="88" t="s">
        <v>195</v>
      </c>
      <c r="J247" s="88"/>
      <c r="K247" s="88">
        <v>2085</v>
      </c>
      <c r="L247" s="88"/>
      <c r="M247" s="88"/>
      <c r="N247" s="53" t="s">
        <v>812</v>
      </c>
      <c r="O247" s="88" t="s">
        <v>863</v>
      </c>
      <c r="P247" s="88"/>
      <c r="Q247" s="88"/>
      <c r="R247" s="53"/>
      <c r="S247" s="53"/>
      <c r="T247" s="53"/>
      <c r="U247" s="53"/>
      <c r="V247" s="53"/>
      <c r="W247" s="53"/>
      <c r="X247" s="53"/>
      <c r="Y247" s="53"/>
      <c r="Z247" s="54">
        <f t="shared" si="4"/>
        <v>9059.9</v>
      </c>
      <c r="AA247" s="58"/>
      <c r="AB247" s="58"/>
      <c r="AC247" s="58">
        <f>TRUNC(D247*K247*0.0000001,1)</f>
        <v>9059.9</v>
      </c>
      <c r="AD247" s="22" t="s">
        <v>936</v>
      </c>
    </row>
    <row r="248" spans="2:30" ht="19.7" customHeight="1" x14ac:dyDescent="0.2">
      <c r="B248" s="57" t="s">
        <v>924</v>
      </c>
      <c r="C248" s="19" t="s">
        <v>575</v>
      </c>
      <c r="D248" s="88">
        <v>26591000</v>
      </c>
      <c r="E248" s="88"/>
      <c r="F248" s="88"/>
      <c r="G248" s="88"/>
      <c r="H248" s="88"/>
      <c r="I248" s="88" t="s">
        <v>195</v>
      </c>
      <c r="J248" s="88"/>
      <c r="K248" s="88">
        <v>4032</v>
      </c>
      <c r="L248" s="88"/>
      <c r="M248" s="88"/>
      <c r="N248" s="53" t="s">
        <v>812</v>
      </c>
      <c r="O248" s="88" t="s">
        <v>863</v>
      </c>
      <c r="P248" s="88"/>
      <c r="Q248" s="88"/>
      <c r="R248" s="53"/>
      <c r="S248" s="53"/>
      <c r="T248" s="53"/>
      <c r="U248" s="53"/>
      <c r="V248" s="53"/>
      <c r="W248" s="53"/>
      <c r="X248" s="53"/>
      <c r="Y248" s="53"/>
      <c r="Z248" s="54">
        <f t="shared" si="4"/>
        <v>10721.4</v>
      </c>
      <c r="AA248" s="58"/>
      <c r="AB248" s="58"/>
      <c r="AC248" s="58">
        <f>TRUNC(D248*K248*0.0000001,1)</f>
        <v>10721.4</v>
      </c>
      <c r="AD248" s="22" t="s">
        <v>936</v>
      </c>
    </row>
    <row r="249" spans="2:30" ht="19.7" customHeight="1" x14ac:dyDescent="0.2">
      <c r="B249" s="57" t="s">
        <v>160</v>
      </c>
      <c r="C249" s="19" t="s">
        <v>962</v>
      </c>
      <c r="D249" s="90">
        <v>6.2</v>
      </c>
      <c r="E249" s="88"/>
      <c r="F249" s="88"/>
      <c r="G249" s="88"/>
      <c r="H249" s="53" t="s">
        <v>769</v>
      </c>
      <c r="I249" s="53" t="s">
        <v>812</v>
      </c>
      <c r="J249" s="88">
        <f>자재단가!R27</f>
        <v>1229</v>
      </c>
      <c r="K249" s="88"/>
      <c r="L249" s="88"/>
      <c r="M249" s="88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4">
        <f t="shared" si="4"/>
        <v>7619.8</v>
      </c>
      <c r="AA249" s="58"/>
      <c r="AB249" s="58">
        <f>TRUNC(D249*J249,1)</f>
        <v>7619.8</v>
      </c>
      <c r="AC249" s="58"/>
      <c r="AD249" s="22" t="s">
        <v>962</v>
      </c>
    </row>
    <row r="250" spans="2:30" ht="19.7" customHeight="1" x14ac:dyDescent="0.2">
      <c r="B250" s="57" t="s">
        <v>85</v>
      </c>
      <c r="C250" s="19" t="s">
        <v>557</v>
      </c>
      <c r="D250" s="90">
        <v>44</v>
      </c>
      <c r="E250" s="88"/>
      <c r="F250" s="88"/>
      <c r="G250" s="88"/>
      <c r="H250" s="53" t="s">
        <v>210</v>
      </c>
      <c r="I250" s="53" t="s">
        <v>812</v>
      </c>
      <c r="J250" s="88">
        <f>AB249</f>
        <v>7619.8</v>
      </c>
      <c r="K250" s="88"/>
      <c r="L250" s="88"/>
      <c r="M250" s="88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4">
        <f t="shared" si="4"/>
        <v>3352.7</v>
      </c>
      <c r="AA250" s="58"/>
      <c r="AB250" s="58">
        <f>TRUNC(D250/100*J250,1)</f>
        <v>3352.7</v>
      </c>
      <c r="AC250" s="58"/>
      <c r="AD250" s="22" t="s">
        <v>962</v>
      </c>
    </row>
    <row r="251" spans="2:30" ht="19.7" customHeight="1" x14ac:dyDescent="0.2">
      <c r="B251" s="57" t="s">
        <v>237</v>
      </c>
      <c r="C251" s="19" t="s">
        <v>962</v>
      </c>
      <c r="D251" s="92">
        <v>1</v>
      </c>
      <c r="E251" s="88"/>
      <c r="F251" s="88"/>
      <c r="G251" s="53" t="s">
        <v>889</v>
      </c>
      <c r="H251" s="53" t="s">
        <v>812</v>
      </c>
      <c r="I251" s="88">
        <f>노임단가!F23</f>
        <v>267360</v>
      </c>
      <c r="J251" s="88"/>
      <c r="K251" s="88"/>
      <c r="L251" s="88"/>
      <c r="M251" s="53" t="s">
        <v>812</v>
      </c>
      <c r="N251" s="88" t="s">
        <v>683</v>
      </c>
      <c r="O251" s="88"/>
      <c r="P251" s="88"/>
      <c r="Q251" s="88"/>
      <c r="R251" s="88"/>
      <c r="S251" s="88"/>
      <c r="T251" s="88"/>
      <c r="U251" s="88"/>
      <c r="V251" s="88"/>
      <c r="W251" s="53"/>
      <c r="X251" s="53"/>
      <c r="Y251" s="53"/>
      <c r="Z251" s="54">
        <f t="shared" si="4"/>
        <v>55699.9</v>
      </c>
      <c r="AA251" s="58">
        <f>TRUNC(D251*I251*기계경비적용기준!E21,1)</f>
        <v>55699.9</v>
      </c>
      <c r="AB251" s="58"/>
      <c r="AC251" s="58"/>
      <c r="AD251" s="22" t="s">
        <v>962</v>
      </c>
    </row>
    <row r="252" spans="2:30" ht="19.7" customHeight="1" x14ac:dyDescent="0.2">
      <c r="B252" s="57" t="s">
        <v>962</v>
      </c>
      <c r="C252" s="19" t="s">
        <v>962</v>
      </c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27"/>
      <c r="AA252" s="21"/>
      <c r="AB252" s="21"/>
      <c r="AC252" s="21"/>
      <c r="AD252" s="22" t="s">
        <v>962</v>
      </c>
    </row>
    <row r="253" spans="2:30" ht="19.7" customHeight="1" x14ac:dyDescent="0.2">
      <c r="B253" s="51" t="s">
        <v>257</v>
      </c>
      <c r="C253" s="52" t="s">
        <v>206</v>
      </c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4">
        <f>AA253+AB253+AC253</f>
        <v>292680</v>
      </c>
      <c r="AA253" s="55">
        <f>TRUNC(AA254+AA255+AA256+AA257)</f>
        <v>55699</v>
      </c>
      <c r="AB253" s="55">
        <f>TRUNC(AB254+AB255+AB256+AB257)</f>
        <v>75131</v>
      </c>
      <c r="AC253" s="55">
        <f>TRUNC(AC254+AC255+AC256+AC257)</f>
        <v>161850</v>
      </c>
      <c r="AD253" s="56"/>
    </row>
    <row r="254" spans="2:30" ht="19.7" customHeight="1" x14ac:dyDescent="0.2">
      <c r="B254" s="57" t="s">
        <v>538</v>
      </c>
      <c r="C254" s="19" t="s">
        <v>206</v>
      </c>
      <c r="D254" s="88">
        <v>401415000</v>
      </c>
      <c r="E254" s="88"/>
      <c r="F254" s="88"/>
      <c r="G254" s="88"/>
      <c r="H254" s="88"/>
      <c r="I254" s="88" t="s">
        <v>195</v>
      </c>
      <c r="J254" s="88"/>
      <c r="K254" s="88">
        <v>4032</v>
      </c>
      <c r="L254" s="88"/>
      <c r="M254" s="88"/>
      <c r="N254" s="53" t="s">
        <v>812</v>
      </c>
      <c r="O254" s="88" t="s">
        <v>863</v>
      </c>
      <c r="P254" s="88"/>
      <c r="Q254" s="88"/>
      <c r="R254" s="53"/>
      <c r="S254" s="53"/>
      <c r="T254" s="53"/>
      <c r="U254" s="53"/>
      <c r="V254" s="53"/>
      <c r="W254" s="53"/>
      <c r="X254" s="53"/>
      <c r="Y254" s="53"/>
      <c r="Z254" s="54">
        <f>AA254+AB254+AC254</f>
        <v>161850.5</v>
      </c>
      <c r="AA254" s="58"/>
      <c r="AB254" s="58"/>
      <c r="AC254" s="58">
        <f>TRUNC(D254*K254*0.0000001,1)</f>
        <v>161850.5</v>
      </c>
      <c r="AD254" s="22" t="s">
        <v>936</v>
      </c>
    </row>
    <row r="255" spans="2:30" ht="19.7" customHeight="1" x14ac:dyDescent="0.2">
      <c r="B255" s="57" t="s">
        <v>160</v>
      </c>
      <c r="C255" s="19" t="s">
        <v>962</v>
      </c>
      <c r="D255" s="90">
        <v>52.7</v>
      </c>
      <c r="E255" s="88"/>
      <c r="F255" s="88"/>
      <c r="G255" s="88"/>
      <c r="H255" s="53" t="s">
        <v>769</v>
      </c>
      <c r="I255" s="53" t="s">
        <v>812</v>
      </c>
      <c r="J255" s="88">
        <f>자재단가!R27</f>
        <v>1229</v>
      </c>
      <c r="K255" s="88"/>
      <c r="L255" s="88"/>
      <c r="M255" s="88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4">
        <f>AA255+AB255+AC255</f>
        <v>64768.3</v>
      </c>
      <c r="AA255" s="58"/>
      <c r="AB255" s="58">
        <f>TRUNC(D255*J255,1)</f>
        <v>64768.3</v>
      </c>
      <c r="AC255" s="58"/>
      <c r="AD255" s="22" t="s">
        <v>962</v>
      </c>
    </row>
    <row r="256" spans="2:30" ht="19.7" customHeight="1" x14ac:dyDescent="0.2">
      <c r="B256" s="59" t="s">
        <v>85</v>
      </c>
      <c r="C256" s="24" t="s">
        <v>557</v>
      </c>
      <c r="D256" s="91">
        <v>16</v>
      </c>
      <c r="E256" s="89"/>
      <c r="F256" s="89"/>
      <c r="G256" s="89"/>
      <c r="H256" s="9" t="s">
        <v>210</v>
      </c>
      <c r="I256" s="9" t="s">
        <v>812</v>
      </c>
      <c r="J256" s="89">
        <f>AB255</f>
        <v>64768.3</v>
      </c>
      <c r="K256" s="89"/>
      <c r="L256" s="89"/>
      <c r="M256" s="8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60">
        <f>AA256+AB256+AC256</f>
        <v>10362.9</v>
      </c>
      <c r="AA256" s="61"/>
      <c r="AB256" s="61">
        <f>TRUNC(D256/100*J256,1)</f>
        <v>10362.9</v>
      </c>
      <c r="AC256" s="61"/>
      <c r="AD256" s="26" t="s">
        <v>962</v>
      </c>
    </row>
    <row r="257" spans="2:30" ht="19.7" customHeight="1" x14ac:dyDescent="0.2">
      <c r="B257" s="57" t="s">
        <v>237</v>
      </c>
      <c r="C257" s="19" t="s">
        <v>962</v>
      </c>
      <c r="D257" s="92">
        <v>1</v>
      </c>
      <c r="E257" s="88"/>
      <c r="F257" s="88"/>
      <c r="G257" s="53" t="s">
        <v>889</v>
      </c>
      <c r="H257" s="53" t="s">
        <v>812</v>
      </c>
      <c r="I257" s="88">
        <f>노임단가!F23</f>
        <v>267360</v>
      </c>
      <c r="J257" s="88"/>
      <c r="K257" s="88"/>
      <c r="L257" s="88"/>
      <c r="M257" s="53" t="s">
        <v>812</v>
      </c>
      <c r="N257" s="88" t="s">
        <v>683</v>
      </c>
      <c r="O257" s="88"/>
      <c r="P257" s="88"/>
      <c r="Q257" s="88"/>
      <c r="R257" s="88"/>
      <c r="S257" s="88"/>
      <c r="T257" s="88"/>
      <c r="U257" s="88"/>
      <c r="V257" s="88"/>
      <c r="W257" s="53"/>
      <c r="X257" s="53"/>
      <c r="Y257" s="53"/>
      <c r="Z257" s="54">
        <f>AA257+AB257+AC257</f>
        <v>55699.9</v>
      </c>
      <c r="AA257" s="58">
        <f>TRUNC(D257*I257*기계경비적용기준!E21,1)</f>
        <v>55699.9</v>
      </c>
      <c r="AB257" s="58"/>
      <c r="AC257" s="58"/>
      <c r="AD257" s="22" t="s">
        <v>962</v>
      </c>
    </row>
    <row r="258" spans="2:30" ht="19.7" customHeight="1" x14ac:dyDescent="0.2">
      <c r="B258" s="57" t="s">
        <v>962</v>
      </c>
      <c r="C258" s="19" t="s">
        <v>962</v>
      </c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27"/>
      <c r="AA258" s="21"/>
      <c r="AB258" s="21"/>
      <c r="AC258" s="21"/>
      <c r="AD258" s="22" t="s">
        <v>962</v>
      </c>
    </row>
    <row r="259" spans="2:30" ht="19.7" customHeight="1" x14ac:dyDescent="0.2">
      <c r="B259" s="51" t="s">
        <v>79</v>
      </c>
      <c r="C259" s="52" t="s">
        <v>22</v>
      </c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4">
        <f>AA259+AB259+AC259</f>
        <v>1189</v>
      </c>
      <c r="AA259" s="55">
        <f>TRUNC(AA260)</f>
        <v>0</v>
      </c>
      <c r="AB259" s="55">
        <f>TRUNC(AB260)</f>
        <v>0</v>
      </c>
      <c r="AC259" s="55">
        <f>TRUNC(AC260)</f>
        <v>1189</v>
      </c>
      <c r="AD259" s="56"/>
    </row>
    <row r="260" spans="2:30" ht="19.7" customHeight="1" x14ac:dyDescent="0.2">
      <c r="B260" s="57" t="s">
        <v>15</v>
      </c>
      <c r="C260" s="19" t="s">
        <v>22</v>
      </c>
      <c r="D260" s="88">
        <v>2731000</v>
      </c>
      <c r="E260" s="88"/>
      <c r="F260" s="88"/>
      <c r="G260" s="88"/>
      <c r="H260" s="88"/>
      <c r="I260" s="88" t="s">
        <v>195</v>
      </c>
      <c r="J260" s="88"/>
      <c r="K260" s="88">
        <v>4355</v>
      </c>
      <c r="L260" s="88"/>
      <c r="M260" s="88"/>
      <c r="N260" s="53" t="s">
        <v>812</v>
      </c>
      <c r="O260" s="88" t="s">
        <v>863</v>
      </c>
      <c r="P260" s="88"/>
      <c r="Q260" s="88"/>
      <c r="R260" s="53"/>
      <c r="S260" s="53"/>
      <c r="T260" s="53"/>
      <c r="U260" s="53"/>
      <c r="V260" s="53"/>
      <c r="W260" s="53"/>
      <c r="X260" s="53"/>
      <c r="Y260" s="53"/>
      <c r="Z260" s="54">
        <f>AA260+AB260+AC260</f>
        <v>1189.3</v>
      </c>
      <c r="AA260" s="58"/>
      <c r="AB260" s="58"/>
      <c r="AC260" s="58">
        <f>TRUNC(D260*K260*0.0000001,1)</f>
        <v>1189.3</v>
      </c>
      <c r="AD260" s="22" t="s">
        <v>936</v>
      </c>
    </row>
    <row r="261" spans="2:30" ht="19.7" customHeight="1" x14ac:dyDescent="0.2">
      <c r="B261" s="57" t="s">
        <v>962</v>
      </c>
      <c r="C261" s="19" t="s">
        <v>962</v>
      </c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27"/>
      <c r="AA261" s="21"/>
      <c r="AB261" s="21"/>
      <c r="AC261" s="21"/>
      <c r="AD261" s="22" t="s">
        <v>962</v>
      </c>
    </row>
    <row r="262" spans="2:30" ht="19.7" customHeight="1" x14ac:dyDescent="0.2">
      <c r="B262" s="51" t="s">
        <v>844</v>
      </c>
      <c r="C262" s="52" t="s">
        <v>196</v>
      </c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4">
        <f>AA262+AB262+AC262</f>
        <v>22083</v>
      </c>
      <c r="AA262" s="55">
        <f>TRUNC(AA263)</f>
        <v>0</v>
      </c>
      <c r="AB262" s="55">
        <f>TRUNC(AB263)</f>
        <v>0</v>
      </c>
      <c r="AC262" s="55">
        <f>TRUNC(AC263)</f>
        <v>22083</v>
      </c>
      <c r="AD262" s="56"/>
    </row>
    <row r="263" spans="2:30" ht="19.7" customHeight="1" x14ac:dyDescent="0.2">
      <c r="B263" s="57" t="s">
        <v>692</v>
      </c>
      <c r="C263" s="19" t="s">
        <v>196</v>
      </c>
      <c r="D263" s="88">
        <v>110415000</v>
      </c>
      <c r="E263" s="88"/>
      <c r="F263" s="88"/>
      <c r="G263" s="88"/>
      <c r="H263" s="88"/>
      <c r="I263" s="88" t="s">
        <v>195</v>
      </c>
      <c r="J263" s="88"/>
      <c r="K263" s="88">
        <v>2000</v>
      </c>
      <c r="L263" s="88"/>
      <c r="M263" s="88"/>
      <c r="N263" s="53" t="s">
        <v>812</v>
      </c>
      <c r="O263" s="88" t="s">
        <v>863</v>
      </c>
      <c r="P263" s="88"/>
      <c r="Q263" s="88"/>
      <c r="R263" s="53"/>
      <c r="S263" s="53"/>
      <c r="T263" s="53"/>
      <c r="U263" s="53"/>
      <c r="V263" s="53"/>
      <c r="W263" s="53"/>
      <c r="X263" s="53"/>
      <c r="Y263" s="53"/>
      <c r="Z263" s="54">
        <f>AA263+AB263+AC263</f>
        <v>22083</v>
      </c>
      <c r="AA263" s="58"/>
      <c r="AB263" s="58"/>
      <c r="AC263" s="58">
        <f>TRUNC(D263*K263*0.0000001,1)</f>
        <v>22083</v>
      </c>
      <c r="AD263" s="22" t="s">
        <v>962</v>
      </c>
    </row>
    <row r="264" spans="2:30" ht="19.7" customHeight="1" x14ac:dyDescent="0.2">
      <c r="B264" s="57" t="s">
        <v>962</v>
      </c>
      <c r="C264" s="19" t="s">
        <v>962</v>
      </c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27"/>
      <c r="AA264" s="21"/>
      <c r="AB264" s="21"/>
      <c r="AC264" s="21"/>
      <c r="AD264" s="22" t="s">
        <v>962</v>
      </c>
    </row>
    <row r="265" spans="2:30" ht="19.7" customHeight="1" x14ac:dyDescent="0.2">
      <c r="B265" s="51" t="s">
        <v>437</v>
      </c>
      <c r="C265" s="52" t="s">
        <v>668</v>
      </c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4">
        <f>AA265+AB265+AC265</f>
        <v>2346</v>
      </c>
      <c r="AA265" s="55">
        <f>TRUNC(AA266)</f>
        <v>0</v>
      </c>
      <c r="AB265" s="55">
        <f>TRUNC(AB266)</f>
        <v>0</v>
      </c>
      <c r="AC265" s="55">
        <f>TRUNC(AC266)</f>
        <v>2346</v>
      </c>
      <c r="AD265" s="56"/>
    </row>
    <row r="266" spans="2:30" ht="19.7" customHeight="1" x14ac:dyDescent="0.2">
      <c r="B266" s="57" t="s">
        <v>656</v>
      </c>
      <c r="C266" s="19" t="s">
        <v>668</v>
      </c>
      <c r="D266" s="88">
        <v>7114000</v>
      </c>
      <c r="E266" s="88"/>
      <c r="F266" s="88"/>
      <c r="G266" s="88"/>
      <c r="H266" s="88"/>
      <c r="I266" s="88" t="s">
        <v>195</v>
      </c>
      <c r="J266" s="88"/>
      <c r="K266" s="88">
        <v>3299.0000000000005</v>
      </c>
      <c r="L266" s="88"/>
      <c r="M266" s="88"/>
      <c r="N266" s="53" t="s">
        <v>812</v>
      </c>
      <c r="O266" s="88" t="s">
        <v>863</v>
      </c>
      <c r="P266" s="88"/>
      <c r="Q266" s="88"/>
      <c r="R266" s="53"/>
      <c r="S266" s="53"/>
      <c r="T266" s="53"/>
      <c r="U266" s="53"/>
      <c r="V266" s="53"/>
      <c r="W266" s="53"/>
      <c r="X266" s="53"/>
      <c r="Y266" s="53"/>
      <c r="Z266" s="54">
        <f>AA266+AB266+AC266</f>
        <v>2346.9</v>
      </c>
      <c r="AA266" s="58"/>
      <c r="AB266" s="58"/>
      <c r="AC266" s="58">
        <f>TRUNC(D266*K266*0.0000001,1)</f>
        <v>2346.9</v>
      </c>
      <c r="AD266" s="22" t="s">
        <v>936</v>
      </c>
    </row>
    <row r="267" spans="2:30" ht="19.7" customHeight="1" x14ac:dyDescent="0.2">
      <c r="B267" s="57" t="s">
        <v>962</v>
      </c>
      <c r="C267" s="19" t="s">
        <v>962</v>
      </c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27"/>
      <c r="AA267" s="21"/>
      <c r="AB267" s="21"/>
      <c r="AC267" s="21"/>
      <c r="AD267" s="22" t="s">
        <v>962</v>
      </c>
    </row>
    <row r="268" spans="2:30" ht="19.7" customHeight="1" x14ac:dyDescent="0.2">
      <c r="B268" s="51" t="s">
        <v>622</v>
      </c>
      <c r="C268" s="52" t="s">
        <v>859</v>
      </c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4">
        <f>AA268+AB268+AC268</f>
        <v>8088</v>
      </c>
      <c r="AA268" s="55">
        <f>TRUNC(AA269)</f>
        <v>0</v>
      </c>
      <c r="AB268" s="55">
        <f>TRUNC(AB269)</f>
        <v>0</v>
      </c>
      <c r="AC268" s="55">
        <f>TRUNC(AC269)</f>
        <v>8088</v>
      </c>
      <c r="AD268" s="56"/>
    </row>
    <row r="269" spans="2:30" ht="19.7" customHeight="1" x14ac:dyDescent="0.2">
      <c r="B269" s="57" t="s">
        <v>656</v>
      </c>
      <c r="C269" s="19" t="s">
        <v>859</v>
      </c>
      <c r="D269" s="88">
        <v>24518000</v>
      </c>
      <c r="E269" s="88"/>
      <c r="F269" s="88"/>
      <c r="G269" s="88"/>
      <c r="H269" s="88"/>
      <c r="I269" s="88" t="s">
        <v>195</v>
      </c>
      <c r="J269" s="88"/>
      <c r="K269" s="88">
        <v>3299.0000000000005</v>
      </c>
      <c r="L269" s="88"/>
      <c r="M269" s="88"/>
      <c r="N269" s="53" t="s">
        <v>812</v>
      </c>
      <c r="O269" s="88" t="s">
        <v>863</v>
      </c>
      <c r="P269" s="88"/>
      <c r="Q269" s="88"/>
      <c r="R269" s="53"/>
      <c r="S269" s="53"/>
      <c r="T269" s="53"/>
      <c r="U269" s="53"/>
      <c r="V269" s="53"/>
      <c r="W269" s="53"/>
      <c r="X269" s="53"/>
      <c r="Y269" s="53"/>
      <c r="Z269" s="54">
        <f>AA269+AB269+AC269</f>
        <v>8088.4</v>
      </c>
      <c r="AA269" s="58"/>
      <c r="AB269" s="58"/>
      <c r="AC269" s="58">
        <f>TRUNC(D269*K269*0.0000001,1)</f>
        <v>8088.4</v>
      </c>
      <c r="AD269" s="22" t="s">
        <v>936</v>
      </c>
    </row>
    <row r="270" spans="2:30" ht="19.7" customHeight="1" x14ac:dyDescent="0.2">
      <c r="B270" s="57" t="s">
        <v>962</v>
      </c>
      <c r="C270" s="19" t="s">
        <v>962</v>
      </c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27"/>
      <c r="AA270" s="21"/>
      <c r="AB270" s="21"/>
      <c r="AC270" s="21"/>
      <c r="AD270" s="22" t="s">
        <v>962</v>
      </c>
    </row>
    <row r="271" spans="2:30" ht="19.7" customHeight="1" x14ac:dyDescent="0.2">
      <c r="B271" s="51" t="s">
        <v>335</v>
      </c>
      <c r="C271" s="52" t="s">
        <v>847</v>
      </c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4">
        <f>AA271+AB271+AC271</f>
        <v>29204</v>
      </c>
      <c r="AA271" s="55">
        <f>TRUNC(AA272)</f>
        <v>0</v>
      </c>
      <c r="AB271" s="55">
        <f>TRUNC(AB272)</f>
        <v>0</v>
      </c>
      <c r="AC271" s="55">
        <f>TRUNC(AC272)</f>
        <v>29204</v>
      </c>
      <c r="AD271" s="56"/>
    </row>
    <row r="272" spans="2:30" ht="19.7" customHeight="1" x14ac:dyDescent="0.2">
      <c r="B272" s="57" t="s">
        <v>905</v>
      </c>
      <c r="C272" s="19" t="s">
        <v>847</v>
      </c>
      <c r="D272" s="88">
        <v>88525000</v>
      </c>
      <c r="E272" s="88"/>
      <c r="F272" s="88"/>
      <c r="G272" s="88"/>
      <c r="H272" s="88"/>
      <c r="I272" s="88" t="s">
        <v>195</v>
      </c>
      <c r="J272" s="88"/>
      <c r="K272" s="88">
        <v>3299.0000000000005</v>
      </c>
      <c r="L272" s="88"/>
      <c r="M272" s="88"/>
      <c r="N272" s="53" t="s">
        <v>812</v>
      </c>
      <c r="O272" s="88" t="s">
        <v>863</v>
      </c>
      <c r="P272" s="88"/>
      <c r="Q272" s="88"/>
      <c r="R272" s="53"/>
      <c r="S272" s="53"/>
      <c r="T272" s="53"/>
      <c r="U272" s="53"/>
      <c r="V272" s="53"/>
      <c r="W272" s="53"/>
      <c r="X272" s="53"/>
      <c r="Y272" s="53"/>
      <c r="Z272" s="54">
        <f>AA272+AB272+AC272</f>
        <v>29204.3</v>
      </c>
      <c r="AA272" s="58"/>
      <c r="AB272" s="58"/>
      <c r="AC272" s="58">
        <f>TRUNC(D272*K272*0.0000001,1)</f>
        <v>29204.3</v>
      </c>
      <c r="AD272" s="22" t="s">
        <v>936</v>
      </c>
    </row>
    <row r="273" spans="2:30" ht="19.7" customHeight="1" x14ac:dyDescent="0.2">
      <c r="B273" s="57" t="s">
        <v>962</v>
      </c>
      <c r="C273" s="19" t="s">
        <v>962</v>
      </c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27"/>
      <c r="AA273" s="21"/>
      <c r="AB273" s="21"/>
      <c r="AC273" s="21"/>
      <c r="AD273" s="22" t="s">
        <v>962</v>
      </c>
    </row>
    <row r="274" spans="2:30" ht="19.7" customHeight="1" x14ac:dyDescent="0.2">
      <c r="B274" s="51" t="s">
        <v>900</v>
      </c>
      <c r="C274" s="52" t="s">
        <v>28</v>
      </c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4">
        <f>AA274+AB274+AC274</f>
        <v>20782</v>
      </c>
      <c r="AA274" s="55">
        <f>TRUNC(AA275)</f>
        <v>0</v>
      </c>
      <c r="AB274" s="55">
        <f>TRUNC(AB275)</f>
        <v>0</v>
      </c>
      <c r="AC274" s="55">
        <f>TRUNC(AC275)</f>
        <v>20782</v>
      </c>
      <c r="AD274" s="56"/>
    </row>
    <row r="275" spans="2:30" ht="19.7" customHeight="1" x14ac:dyDescent="0.2">
      <c r="B275" s="57" t="s">
        <v>246</v>
      </c>
      <c r="C275" s="19" t="s">
        <v>28</v>
      </c>
      <c r="D275" s="88">
        <v>77487000</v>
      </c>
      <c r="E275" s="88"/>
      <c r="F275" s="88"/>
      <c r="G275" s="88"/>
      <c r="H275" s="88"/>
      <c r="I275" s="88" t="s">
        <v>195</v>
      </c>
      <c r="J275" s="88"/>
      <c r="K275" s="88">
        <v>2682</v>
      </c>
      <c r="L275" s="88"/>
      <c r="M275" s="88"/>
      <c r="N275" s="53" t="s">
        <v>812</v>
      </c>
      <c r="O275" s="88" t="s">
        <v>863</v>
      </c>
      <c r="P275" s="88"/>
      <c r="Q275" s="88"/>
      <c r="R275" s="53"/>
      <c r="S275" s="53"/>
      <c r="T275" s="53"/>
      <c r="U275" s="53"/>
      <c r="V275" s="53"/>
      <c r="W275" s="53"/>
      <c r="X275" s="53"/>
      <c r="Y275" s="53"/>
      <c r="Z275" s="54">
        <f>AA275+AB275+AC275</f>
        <v>20782</v>
      </c>
      <c r="AA275" s="58"/>
      <c r="AB275" s="58"/>
      <c r="AC275" s="58">
        <f>TRUNC(D275*K275*0.0000001,1)</f>
        <v>20782</v>
      </c>
      <c r="AD275" s="22" t="s">
        <v>936</v>
      </c>
    </row>
    <row r="276" spans="2:30" ht="19.7" customHeight="1" x14ac:dyDescent="0.2">
      <c r="B276" s="57" t="s">
        <v>962</v>
      </c>
      <c r="C276" s="19" t="s">
        <v>962</v>
      </c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27"/>
      <c r="AA276" s="21"/>
      <c r="AB276" s="21"/>
      <c r="AC276" s="21"/>
      <c r="AD276" s="22" t="s">
        <v>962</v>
      </c>
    </row>
    <row r="277" spans="2:30" ht="19.7" customHeight="1" x14ac:dyDescent="0.2">
      <c r="B277" s="51" t="s">
        <v>66</v>
      </c>
      <c r="C277" s="52" t="s">
        <v>710</v>
      </c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4">
        <f>AA277+AB277+AC277</f>
        <v>25932</v>
      </c>
      <c r="AA277" s="55">
        <f>TRUNC(AA278)</f>
        <v>0</v>
      </c>
      <c r="AB277" s="55">
        <f>TRUNC(AB278)</f>
        <v>0</v>
      </c>
      <c r="AC277" s="55">
        <f>TRUNC(AC278)</f>
        <v>25932</v>
      </c>
      <c r="AD277" s="56"/>
    </row>
    <row r="278" spans="2:30" ht="19.7" customHeight="1" x14ac:dyDescent="0.2">
      <c r="B278" s="57" t="s">
        <v>246</v>
      </c>
      <c r="C278" s="19" t="s">
        <v>710</v>
      </c>
      <c r="D278" s="88">
        <v>96690000</v>
      </c>
      <c r="E278" s="88"/>
      <c r="F278" s="88"/>
      <c r="G278" s="88"/>
      <c r="H278" s="88"/>
      <c r="I278" s="88" t="s">
        <v>195</v>
      </c>
      <c r="J278" s="88"/>
      <c r="K278" s="88">
        <v>2682</v>
      </c>
      <c r="L278" s="88"/>
      <c r="M278" s="88"/>
      <c r="N278" s="53" t="s">
        <v>812</v>
      </c>
      <c r="O278" s="88" t="s">
        <v>863</v>
      </c>
      <c r="P278" s="88"/>
      <c r="Q278" s="88"/>
      <c r="R278" s="53"/>
      <c r="S278" s="53"/>
      <c r="T278" s="53"/>
      <c r="U278" s="53"/>
      <c r="V278" s="53"/>
      <c r="W278" s="53"/>
      <c r="X278" s="53"/>
      <c r="Y278" s="53"/>
      <c r="Z278" s="54">
        <f>AA278+AB278+AC278</f>
        <v>25932.2</v>
      </c>
      <c r="AA278" s="58"/>
      <c r="AB278" s="58"/>
      <c r="AC278" s="58">
        <f>TRUNC(D278*K278*0.0000001,1)</f>
        <v>25932.2</v>
      </c>
      <c r="AD278" s="22" t="s">
        <v>936</v>
      </c>
    </row>
    <row r="279" spans="2:30" ht="19.7" customHeight="1" x14ac:dyDescent="0.2">
      <c r="B279" s="57" t="s">
        <v>962</v>
      </c>
      <c r="C279" s="19" t="s">
        <v>962</v>
      </c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27"/>
      <c r="AA279" s="21"/>
      <c r="AB279" s="21"/>
      <c r="AC279" s="21"/>
      <c r="AD279" s="22" t="s">
        <v>962</v>
      </c>
    </row>
    <row r="280" spans="2:30" ht="19.7" customHeight="1" x14ac:dyDescent="0.2">
      <c r="B280" s="51" t="s">
        <v>696</v>
      </c>
      <c r="C280" s="52" t="s">
        <v>330</v>
      </c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4">
        <f>AA280+AB280+AC280</f>
        <v>28905</v>
      </c>
      <c r="AA280" s="55">
        <f>TRUNC(AA281)</f>
        <v>0</v>
      </c>
      <c r="AB280" s="55">
        <f>TRUNC(AB281)</f>
        <v>0</v>
      </c>
      <c r="AC280" s="55">
        <f>TRUNC(AC281)</f>
        <v>28905</v>
      </c>
      <c r="AD280" s="56"/>
    </row>
    <row r="281" spans="2:30" ht="19.7" customHeight="1" x14ac:dyDescent="0.2">
      <c r="B281" s="57" t="s">
        <v>246</v>
      </c>
      <c r="C281" s="19" t="s">
        <v>330</v>
      </c>
      <c r="D281" s="88">
        <v>107775000</v>
      </c>
      <c r="E281" s="88"/>
      <c r="F281" s="88"/>
      <c r="G281" s="88"/>
      <c r="H281" s="88"/>
      <c r="I281" s="88" t="s">
        <v>195</v>
      </c>
      <c r="J281" s="88"/>
      <c r="K281" s="88">
        <v>2682</v>
      </c>
      <c r="L281" s="88"/>
      <c r="M281" s="88"/>
      <c r="N281" s="53" t="s">
        <v>812</v>
      </c>
      <c r="O281" s="88" t="s">
        <v>863</v>
      </c>
      <c r="P281" s="88"/>
      <c r="Q281" s="88"/>
      <c r="R281" s="53"/>
      <c r="S281" s="53"/>
      <c r="T281" s="53"/>
      <c r="U281" s="53"/>
      <c r="V281" s="53"/>
      <c r="W281" s="53"/>
      <c r="X281" s="53"/>
      <c r="Y281" s="53"/>
      <c r="Z281" s="54">
        <f>AA281+AB281+AC281</f>
        <v>28905.200000000001</v>
      </c>
      <c r="AA281" s="58"/>
      <c r="AB281" s="58"/>
      <c r="AC281" s="58">
        <f>TRUNC(D281*K281*0.0000001,1)</f>
        <v>28905.200000000001</v>
      </c>
      <c r="AD281" s="22" t="s">
        <v>936</v>
      </c>
    </row>
    <row r="282" spans="2:30" ht="19.7" customHeight="1" x14ac:dyDescent="0.2">
      <c r="B282" s="57" t="s">
        <v>962</v>
      </c>
      <c r="C282" s="19" t="s">
        <v>962</v>
      </c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27"/>
      <c r="AA282" s="21"/>
      <c r="AB282" s="21"/>
      <c r="AC282" s="21"/>
      <c r="AD282" s="22" t="s">
        <v>962</v>
      </c>
    </row>
    <row r="283" spans="2:30" ht="19.7" customHeight="1" x14ac:dyDescent="0.2">
      <c r="B283" s="51" t="s">
        <v>348</v>
      </c>
      <c r="C283" s="52" t="s">
        <v>207</v>
      </c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4">
        <f>AA283+AB283+AC283</f>
        <v>37113</v>
      </c>
      <c r="AA283" s="55">
        <f>TRUNC(AA284)</f>
        <v>0</v>
      </c>
      <c r="AB283" s="55">
        <f>TRUNC(AB284)</f>
        <v>0</v>
      </c>
      <c r="AC283" s="55">
        <f>TRUNC(AC284)</f>
        <v>37113</v>
      </c>
      <c r="AD283" s="56"/>
    </row>
    <row r="284" spans="2:30" ht="19.7" customHeight="1" x14ac:dyDescent="0.2">
      <c r="B284" s="59" t="s">
        <v>246</v>
      </c>
      <c r="C284" s="24" t="s">
        <v>207</v>
      </c>
      <c r="D284" s="89">
        <v>138381000</v>
      </c>
      <c r="E284" s="89"/>
      <c r="F284" s="89"/>
      <c r="G284" s="89"/>
      <c r="H284" s="89"/>
      <c r="I284" s="89" t="s">
        <v>195</v>
      </c>
      <c r="J284" s="89"/>
      <c r="K284" s="89">
        <v>2682</v>
      </c>
      <c r="L284" s="89"/>
      <c r="M284" s="89"/>
      <c r="N284" s="9" t="s">
        <v>812</v>
      </c>
      <c r="O284" s="89" t="s">
        <v>863</v>
      </c>
      <c r="P284" s="89"/>
      <c r="Q284" s="89"/>
      <c r="R284" s="9"/>
      <c r="S284" s="9"/>
      <c r="T284" s="9"/>
      <c r="U284" s="9"/>
      <c r="V284" s="9"/>
      <c r="W284" s="9"/>
      <c r="X284" s="9"/>
      <c r="Y284" s="9"/>
      <c r="Z284" s="60">
        <f>AA284+AB284+AC284</f>
        <v>37113.699999999997</v>
      </c>
      <c r="AA284" s="61"/>
      <c r="AB284" s="61"/>
      <c r="AC284" s="61">
        <f>TRUNC(D284*K284*0.0000001,1)</f>
        <v>37113.699999999997</v>
      </c>
      <c r="AD284" s="26" t="s">
        <v>936</v>
      </c>
    </row>
    <row r="285" spans="2:30" ht="19.7" customHeight="1" x14ac:dyDescent="0.2">
      <c r="B285" s="57" t="s">
        <v>962</v>
      </c>
      <c r="C285" s="19" t="s">
        <v>962</v>
      </c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27"/>
      <c r="AA285" s="21"/>
      <c r="AB285" s="21"/>
      <c r="AC285" s="21"/>
      <c r="AD285" s="22" t="s">
        <v>962</v>
      </c>
    </row>
    <row r="286" spans="2:30" ht="19.7" customHeight="1" x14ac:dyDescent="0.2">
      <c r="B286" s="51" t="s">
        <v>214</v>
      </c>
      <c r="C286" s="52" t="s">
        <v>357</v>
      </c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4">
        <f>AA286+AB286+AC286</f>
        <v>88569</v>
      </c>
      <c r="AA286" s="55">
        <f>TRUNC(AA287+AA288+AA289+AA290)</f>
        <v>55699</v>
      </c>
      <c r="AB286" s="55">
        <f>TRUNC(AB287+AB288+AB289+AB290)</f>
        <v>13302</v>
      </c>
      <c r="AC286" s="55">
        <f>TRUNC(AC287+AC288+AC289+AC290)</f>
        <v>19568</v>
      </c>
      <c r="AD286" s="56"/>
    </row>
    <row r="287" spans="2:30" ht="19.7" customHeight="1" x14ac:dyDescent="0.2">
      <c r="B287" s="57" t="s">
        <v>349</v>
      </c>
      <c r="C287" s="19" t="s">
        <v>357</v>
      </c>
      <c r="D287" s="88">
        <v>121170000</v>
      </c>
      <c r="E287" s="88"/>
      <c r="F287" s="88"/>
      <c r="G287" s="88"/>
      <c r="H287" s="88"/>
      <c r="I287" s="88" t="s">
        <v>195</v>
      </c>
      <c r="J287" s="88"/>
      <c r="K287" s="88">
        <v>1615</v>
      </c>
      <c r="L287" s="88"/>
      <c r="M287" s="88"/>
      <c r="N287" s="53" t="s">
        <v>812</v>
      </c>
      <c r="O287" s="88" t="s">
        <v>863</v>
      </c>
      <c r="P287" s="88"/>
      <c r="Q287" s="88"/>
      <c r="R287" s="53"/>
      <c r="S287" s="53"/>
      <c r="T287" s="53"/>
      <c r="U287" s="53"/>
      <c r="V287" s="53"/>
      <c r="W287" s="53"/>
      <c r="X287" s="53"/>
      <c r="Y287" s="53"/>
      <c r="Z287" s="54">
        <f>AA287+AB287+AC287</f>
        <v>19568.900000000001</v>
      </c>
      <c r="AA287" s="58"/>
      <c r="AB287" s="58"/>
      <c r="AC287" s="58">
        <f>TRUNC(D287*K287*0.0000001,1)</f>
        <v>19568.900000000001</v>
      </c>
      <c r="AD287" s="22" t="s">
        <v>936</v>
      </c>
    </row>
    <row r="288" spans="2:30" ht="19.7" customHeight="1" x14ac:dyDescent="0.2">
      <c r="B288" s="57" t="s">
        <v>160</v>
      </c>
      <c r="C288" s="19" t="s">
        <v>962</v>
      </c>
      <c r="D288" s="90">
        <v>9.02</v>
      </c>
      <c r="E288" s="88"/>
      <c r="F288" s="88"/>
      <c r="G288" s="88"/>
      <c r="H288" s="53" t="s">
        <v>769</v>
      </c>
      <c r="I288" s="53" t="s">
        <v>812</v>
      </c>
      <c r="J288" s="88">
        <f>자재단가!R27</f>
        <v>1229</v>
      </c>
      <c r="K288" s="88"/>
      <c r="L288" s="88"/>
      <c r="M288" s="88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4">
        <f>AA288+AB288+AC288</f>
        <v>11085.5</v>
      </c>
      <c r="AA288" s="58"/>
      <c r="AB288" s="58">
        <f>TRUNC(D288*J288,1)</f>
        <v>11085.5</v>
      </c>
      <c r="AC288" s="58"/>
      <c r="AD288" s="22" t="s">
        <v>962</v>
      </c>
    </row>
    <row r="289" spans="2:30" ht="19.7" customHeight="1" x14ac:dyDescent="0.2">
      <c r="B289" s="57" t="s">
        <v>29</v>
      </c>
      <c r="C289" s="19" t="s">
        <v>557</v>
      </c>
      <c r="D289" s="90">
        <v>20</v>
      </c>
      <c r="E289" s="88"/>
      <c r="F289" s="88"/>
      <c r="G289" s="88"/>
      <c r="H289" s="53" t="s">
        <v>210</v>
      </c>
      <c r="I289" s="53" t="s">
        <v>812</v>
      </c>
      <c r="J289" s="88">
        <f>AB288</f>
        <v>11085.5</v>
      </c>
      <c r="K289" s="88"/>
      <c r="L289" s="88"/>
      <c r="M289" s="88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4">
        <f>AA289+AB289+AC289</f>
        <v>2217.1</v>
      </c>
      <c r="AA289" s="58"/>
      <c r="AB289" s="58">
        <f>TRUNC(D289/100*J289,1)</f>
        <v>2217.1</v>
      </c>
      <c r="AC289" s="58"/>
      <c r="AD289" s="22" t="s">
        <v>962</v>
      </c>
    </row>
    <row r="290" spans="2:30" ht="19.7" customHeight="1" x14ac:dyDescent="0.2">
      <c r="B290" s="57" t="s">
        <v>237</v>
      </c>
      <c r="C290" s="19" t="s">
        <v>962</v>
      </c>
      <c r="D290" s="92">
        <v>1</v>
      </c>
      <c r="E290" s="88"/>
      <c r="F290" s="88"/>
      <c r="G290" s="53" t="s">
        <v>889</v>
      </c>
      <c r="H290" s="53" t="s">
        <v>812</v>
      </c>
      <c r="I290" s="88">
        <f>노임단가!F23</f>
        <v>267360</v>
      </c>
      <c r="J290" s="88"/>
      <c r="K290" s="88"/>
      <c r="L290" s="88"/>
      <c r="M290" s="53" t="s">
        <v>812</v>
      </c>
      <c r="N290" s="88" t="s">
        <v>683</v>
      </c>
      <c r="O290" s="88"/>
      <c r="P290" s="88"/>
      <c r="Q290" s="88"/>
      <c r="R290" s="88"/>
      <c r="S290" s="88"/>
      <c r="T290" s="88"/>
      <c r="U290" s="88"/>
      <c r="V290" s="88"/>
      <c r="W290" s="53"/>
      <c r="X290" s="53"/>
      <c r="Y290" s="53"/>
      <c r="Z290" s="54">
        <f>AA290+AB290+AC290</f>
        <v>55699.9</v>
      </c>
      <c r="AA290" s="58">
        <f>TRUNC(D290*I290*기계경비적용기준!E21,1)</f>
        <v>55699.9</v>
      </c>
      <c r="AB290" s="58"/>
      <c r="AC290" s="58"/>
      <c r="AD290" s="22" t="s">
        <v>962</v>
      </c>
    </row>
    <row r="291" spans="2:30" ht="19.7" customHeight="1" x14ac:dyDescent="0.2">
      <c r="B291" s="57" t="s">
        <v>962</v>
      </c>
      <c r="C291" s="19" t="s">
        <v>962</v>
      </c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27"/>
      <c r="AA291" s="21"/>
      <c r="AB291" s="21"/>
      <c r="AC291" s="21"/>
      <c r="AD291" s="22" t="s">
        <v>962</v>
      </c>
    </row>
    <row r="292" spans="2:30" ht="19.7" customHeight="1" x14ac:dyDescent="0.2">
      <c r="B292" s="51" t="s">
        <v>920</v>
      </c>
      <c r="C292" s="52" t="s">
        <v>248</v>
      </c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4">
        <f>AA292+AB292+AC292</f>
        <v>120059</v>
      </c>
      <c r="AA292" s="55">
        <f>TRUNC(AA293+AA294+AA295+AA296)</f>
        <v>55699</v>
      </c>
      <c r="AB292" s="55">
        <f>TRUNC(AB293+AB294+AB295+AB296)</f>
        <v>19614</v>
      </c>
      <c r="AC292" s="55">
        <f>TRUNC(AC293+AC294+AC295+AC296)</f>
        <v>44746</v>
      </c>
      <c r="AD292" s="56"/>
    </row>
    <row r="293" spans="2:30" ht="19.7" customHeight="1" x14ac:dyDescent="0.2">
      <c r="B293" s="57" t="s">
        <v>349</v>
      </c>
      <c r="C293" s="19" t="s">
        <v>248</v>
      </c>
      <c r="D293" s="88">
        <v>277066000</v>
      </c>
      <c r="E293" s="88"/>
      <c r="F293" s="88"/>
      <c r="G293" s="88"/>
      <c r="H293" s="88"/>
      <c r="I293" s="88" t="s">
        <v>195</v>
      </c>
      <c r="J293" s="88"/>
      <c r="K293" s="88">
        <v>1615</v>
      </c>
      <c r="L293" s="88"/>
      <c r="M293" s="88"/>
      <c r="N293" s="53" t="s">
        <v>812</v>
      </c>
      <c r="O293" s="88" t="s">
        <v>863</v>
      </c>
      <c r="P293" s="88"/>
      <c r="Q293" s="88"/>
      <c r="R293" s="53"/>
      <c r="S293" s="53"/>
      <c r="T293" s="53"/>
      <c r="U293" s="53"/>
      <c r="V293" s="53"/>
      <c r="W293" s="53"/>
      <c r="X293" s="53"/>
      <c r="Y293" s="53"/>
      <c r="Z293" s="54">
        <f>AA293+AB293+AC293</f>
        <v>44746.1</v>
      </c>
      <c r="AA293" s="58"/>
      <c r="AB293" s="58"/>
      <c r="AC293" s="58">
        <f>TRUNC(D293*K293*0.0000001,1)</f>
        <v>44746.1</v>
      </c>
      <c r="AD293" s="22" t="s">
        <v>936</v>
      </c>
    </row>
    <row r="294" spans="2:30" ht="19.7" customHeight="1" x14ac:dyDescent="0.2">
      <c r="B294" s="57" t="s">
        <v>160</v>
      </c>
      <c r="C294" s="19" t="s">
        <v>962</v>
      </c>
      <c r="D294" s="90">
        <v>13.3</v>
      </c>
      <c r="E294" s="88"/>
      <c r="F294" s="88"/>
      <c r="G294" s="88"/>
      <c r="H294" s="53" t="s">
        <v>769</v>
      </c>
      <c r="I294" s="53" t="s">
        <v>812</v>
      </c>
      <c r="J294" s="88">
        <f>자재단가!R27</f>
        <v>1229</v>
      </c>
      <c r="K294" s="88"/>
      <c r="L294" s="88"/>
      <c r="M294" s="88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4">
        <f>AA294+AB294+AC294</f>
        <v>16345.7</v>
      </c>
      <c r="AA294" s="58"/>
      <c r="AB294" s="58">
        <f>TRUNC(D294*J294,1)</f>
        <v>16345.7</v>
      </c>
      <c r="AC294" s="58"/>
      <c r="AD294" s="22" t="s">
        <v>962</v>
      </c>
    </row>
    <row r="295" spans="2:30" ht="19.7" customHeight="1" x14ac:dyDescent="0.2">
      <c r="B295" s="57" t="s">
        <v>29</v>
      </c>
      <c r="C295" s="19" t="s">
        <v>557</v>
      </c>
      <c r="D295" s="90">
        <v>20</v>
      </c>
      <c r="E295" s="88"/>
      <c r="F295" s="88"/>
      <c r="G295" s="88"/>
      <c r="H295" s="53" t="s">
        <v>210</v>
      </c>
      <c r="I295" s="53" t="s">
        <v>812</v>
      </c>
      <c r="J295" s="88">
        <f>AB294</f>
        <v>16345.7</v>
      </c>
      <c r="K295" s="88"/>
      <c r="L295" s="88"/>
      <c r="M295" s="88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4">
        <f>AA295+AB295+AC295</f>
        <v>3269.1</v>
      </c>
      <c r="AA295" s="58"/>
      <c r="AB295" s="58">
        <f>TRUNC(D295/100*J295,1)</f>
        <v>3269.1</v>
      </c>
      <c r="AC295" s="58"/>
      <c r="AD295" s="22" t="s">
        <v>962</v>
      </c>
    </row>
    <row r="296" spans="2:30" ht="19.7" customHeight="1" x14ac:dyDescent="0.2">
      <c r="B296" s="57" t="s">
        <v>237</v>
      </c>
      <c r="C296" s="19" t="s">
        <v>962</v>
      </c>
      <c r="D296" s="92">
        <v>1</v>
      </c>
      <c r="E296" s="88"/>
      <c r="F296" s="88"/>
      <c r="G296" s="53" t="s">
        <v>889</v>
      </c>
      <c r="H296" s="53" t="s">
        <v>812</v>
      </c>
      <c r="I296" s="88">
        <f>노임단가!F23</f>
        <v>267360</v>
      </c>
      <c r="J296" s="88"/>
      <c r="K296" s="88"/>
      <c r="L296" s="88"/>
      <c r="M296" s="53" t="s">
        <v>812</v>
      </c>
      <c r="N296" s="88" t="s">
        <v>683</v>
      </c>
      <c r="O296" s="88"/>
      <c r="P296" s="88"/>
      <c r="Q296" s="88"/>
      <c r="R296" s="88"/>
      <c r="S296" s="88"/>
      <c r="T296" s="88"/>
      <c r="U296" s="88"/>
      <c r="V296" s="88"/>
      <c r="W296" s="53"/>
      <c r="X296" s="53"/>
      <c r="Y296" s="53"/>
      <c r="Z296" s="54">
        <f>AA296+AB296+AC296</f>
        <v>55699.9</v>
      </c>
      <c r="AA296" s="58">
        <f>TRUNC(D296*I296*기계경비적용기준!E21,1)</f>
        <v>55699.9</v>
      </c>
      <c r="AB296" s="58"/>
      <c r="AC296" s="58"/>
      <c r="AD296" s="22" t="s">
        <v>962</v>
      </c>
    </row>
    <row r="297" spans="2:30" ht="19.7" customHeight="1" x14ac:dyDescent="0.2">
      <c r="B297" s="57" t="s">
        <v>962</v>
      </c>
      <c r="C297" s="19" t="s">
        <v>962</v>
      </c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27"/>
      <c r="AA297" s="21"/>
      <c r="AB297" s="21"/>
      <c r="AC297" s="21"/>
      <c r="AD297" s="22" t="s">
        <v>962</v>
      </c>
    </row>
    <row r="298" spans="2:30" ht="19.7" customHeight="1" x14ac:dyDescent="0.2">
      <c r="B298" s="51" t="s">
        <v>899</v>
      </c>
      <c r="C298" s="52" t="s">
        <v>168</v>
      </c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4">
        <f>AA298+AB298+AC298</f>
        <v>71559</v>
      </c>
      <c r="AA298" s="55">
        <f>TRUNC(AA299+AA300+AA301+AA302)</f>
        <v>47231</v>
      </c>
      <c r="AB298" s="55">
        <f>TRUNC(AB299+AB300+AB301+AB302)</f>
        <v>14858</v>
      </c>
      <c r="AC298" s="55">
        <f>TRUNC(AC299+AC300+AC301+AC302)</f>
        <v>9470</v>
      </c>
      <c r="AD298" s="56"/>
    </row>
    <row r="299" spans="2:30" ht="19.7" customHeight="1" x14ac:dyDescent="0.2">
      <c r="B299" s="57" t="s">
        <v>684</v>
      </c>
      <c r="C299" s="19" t="s">
        <v>168</v>
      </c>
      <c r="D299" s="88">
        <v>44820000</v>
      </c>
      <c r="E299" s="88"/>
      <c r="F299" s="88"/>
      <c r="G299" s="88"/>
      <c r="H299" s="88"/>
      <c r="I299" s="88" t="s">
        <v>195</v>
      </c>
      <c r="J299" s="88"/>
      <c r="K299" s="88">
        <v>2113</v>
      </c>
      <c r="L299" s="88"/>
      <c r="M299" s="88"/>
      <c r="N299" s="53" t="s">
        <v>812</v>
      </c>
      <c r="O299" s="88" t="s">
        <v>863</v>
      </c>
      <c r="P299" s="88"/>
      <c r="Q299" s="88"/>
      <c r="R299" s="53"/>
      <c r="S299" s="53"/>
      <c r="T299" s="53"/>
      <c r="U299" s="53"/>
      <c r="V299" s="53"/>
      <c r="W299" s="53"/>
      <c r="X299" s="53"/>
      <c r="Y299" s="53"/>
      <c r="Z299" s="54">
        <f>AA299+AB299+AC299</f>
        <v>9470.4</v>
      </c>
      <c r="AA299" s="58"/>
      <c r="AB299" s="58"/>
      <c r="AC299" s="58">
        <f>TRUNC(D299*K299*0.0000001,1)</f>
        <v>9470.4</v>
      </c>
      <c r="AD299" s="22" t="s">
        <v>936</v>
      </c>
    </row>
    <row r="300" spans="2:30" ht="19.7" customHeight="1" x14ac:dyDescent="0.2">
      <c r="B300" s="57" t="s">
        <v>160</v>
      </c>
      <c r="C300" s="19" t="s">
        <v>962</v>
      </c>
      <c r="D300" s="90">
        <v>9.3000000000000007</v>
      </c>
      <c r="E300" s="88"/>
      <c r="F300" s="88"/>
      <c r="G300" s="88"/>
      <c r="H300" s="53" t="s">
        <v>769</v>
      </c>
      <c r="I300" s="53" t="s">
        <v>812</v>
      </c>
      <c r="J300" s="88">
        <f>자재단가!R27</f>
        <v>1229</v>
      </c>
      <c r="K300" s="88"/>
      <c r="L300" s="88"/>
      <c r="M300" s="88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4">
        <f>AA300+AB300+AC300</f>
        <v>11429.7</v>
      </c>
      <c r="AA300" s="58"/>
      <c r="AB300" s="58">
        <f>TRUNC(D300*J300,1)</f>
        <v>11429.7</v>
      </c>
      <c r="AC300" s="58"/>
      <c r="AD300" s="22" t="s">
        <v>962</v>
      </c>
    </row>
    <row r="301" spans="2:30" ht="19.7" customHeight="1" x14ac:dyDescent="0.2">
      <c r="B301" s="57" t="s">
        <v>85</v>
      </c>
      <c r="C301" s="19" t="s">
        <v>557</v>
      </c>
      <c r="D301" s="90">
        <v>30</v>
      </c>
      <c r="E301" s="88"/>
      <c r="F301" s="88"/>
      <c r="G301" s="88"/>
      <c r="H301" s="53" t="s">
        <v>210</v>
      </c>
      <c r="I301" s="53" t="s">
        <v>812</v>
      </c>
      <c r="J301" s="88">
        <f>AB300</f>
        <v>11429.7</v>
      </c>
      <c r="K301" s="88"/>
      <c r="L301" s="88"/>
      <c r="M301" s="88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4">
        <f>AA301+AB301+AC301</f>
        <v>3428.9</v>
      </c>
      <c r="AA301" s="58"/>
      <c r="AB301" s="58">
        <f>TRUNC(D301/100*J301,1)</f>
        <v>3428.9</v>
      </c>
      <c r="AC301" s="58"/>
      <c r="AD301" s="22" t="s">
        <v>962</v>
      </c>
    </row>
    <row r="302" spans="2:30" ht="19.7" customHeight="1" x14ac:dyDescent="0.2">
      <c r="B302" s="57" t="s">
        <v>78</v>
      </c>
      <c r="C302" s="19" t="s">
        <v>962</v>
      </c>
      <c r="D302" s="92">
        <v>1</v>
      </c>
      <c r="E302" s="88"/>
      <c r="F302" s="88"/>
      <c r="G302" s="53" t="s">
        <v>889</v>
      </c>
      <c r="H302" s="53" t="s">
        <v>812</v>
      </c>
      <c r="I302" s="88">
        <f>노임단가!F24</f>
        <v>226709</v>
      </c>
      <c r="J302" s="88"/>
      <c r="K302" s="88"/>
      <c r="L302" s="88"/>
      <c r="M302" s="53" t="s">
        <v>812</v>
      </c>
      <c r="N302" s="88" t="s">
        <v>683</v>
      </c>
      <c r="O302" s="88"/>
      <c r="P302" s="88"/>
      <c r="Q302" s="88"/>
      <c r="R302" s="88"/>
      <c r="S302" s="88"/>
      <c r="T302" s="88"/>
      <c r="U302" s="88"/>
      <c r="V302" s="88"/>
      <c r="W302" s="53"/>
      <c r="X302" s="53"/>
      <c r="Y302" s="53"/>
      <c r="Z302" s="54">
        <f>AA302+AB302+AC302</f>
        <v>47231</v>
      </c>
      <c r="AA302" s="58">
        <f>TRUNC(D302*I302*기계경비적용기준!E21,1)</f>
        <v>47231</v>
      </c>
      <c r="AB302" s="58"/>
      <c r="AC302" s="58"/>
      <c r="AD302" s="22" t="s">
        <v>962</v>
      </c>
    </row>
    <row r="303" spans="2:30" ht="19.7" customHeight="1" x14ac:dyDescent="0.2">
      <c r="B303" s="57" t="s">
        <v>962</v>
      </c>
      <c r="C303" s="19" t="s">
        <v>962</v>
      </c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27"/>
      <c r="AA303" s="21"/>
      <c r="AB303" s="21"/>
      <c r="AC303" s="21"/>
      <c r="AD303" s="22" t="s">
        <v>962</v>
      </c>
    </row>
    <row r="304" spans="2:30" ht="19.7" customHeight="1" x14ac:dyDescent="0.2">
      <c r="B304" s="51" t="s">
        <v>589</v>
      </c>
      <c r="C304" s="52" t="s">
        <v>227</v>
      </c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4">
        <f>AA304+AB304+AC304</f>
        <v>86004</v>
      </c>
      <c r="AA304" s="55">
        <f>TRUNC(AA305+AA306+AA307+AA308)</f>
        <v>47231</v>
      </c>
      <c r="AB304" s="55">
        <f>TRUNC(AB305+AB306+AB307+AB308)</f>
        <v>20610</v>
      </c>
      <c r="AC304" s="55">
        <f>TRUNC(AC305+AC306+AC307+AC308)</f>
        <v>18163</v>
      </c>
      <c r="AD304" s="56"/>
    </row>
    <row r="305" spans="2:30" ht="19.7" customHeight="1" x14ac:dyDescent="0.2">
      <c r="B305" s="57" t="s">
        <v>684</v>
      </c>
      <c r="C305" s="19" t="s">
        <v>227</v>
      </c>
      <c r="D305" s="88">
        <v>85962000</v>
      </c>
      <c r="E305" s="88"/>
      <c r="F305" s="88"/>
      <c r="G305" s="88"/>
      <c r="H305" s="88"/>
      <c r="I305" s="88" t="s">
        <v>195</v>
      </c>
      <c r="J305" s="88"/>
      <c r="K305" s="88">
        <v>2113</v>
      </c>
      <c r="L305" s="88"/>
      <c r="M305" s="88"/>
      <c r="N305" s="53" t="s">
        <v>812</v>
      </c>
      <c r="O305" s="88" t="s">
        <v>863</v>
      </c>
      <c r="P305" s="88"/>
      <c r="Q305" s="88"/>
      <c r="R305" s="53"/>
      <c r="S305" s="53"/>
      <c r="T305" s="53"/>
      <c r="U305" s="53"/>
      <c r="V305" s="53"/>
      <c r="W305" s="53"/>
      <c r="X305" s="53"/>
      <c r="Y305" s="53"/>
      <c r="Z305" s="54">
        <f>AA305+AB305+AC305</f>
        <v>18163.7</v>
      </c>
      <c r="AA305" s="58"/>
      <c r="AB305" s="58"/>
      <c r="AC305" s="58">
        <f>TRUNC(D305*K305*0.0000001,1)</f>
        <v>18163.7</v>
      </c>
      <c r="AD305" s="22" t="s">
        <v>936</v>
      </c>
    </row>
    <row r="306" spans="2:30" ht="19.7" customHeight="1" x14ac:dyDescent="0.2">
      <c r="B306" s="57" t="s">
        <v>160</v>
      </c>
      <c r="C306" s="19" t="s">
        <v>962</v>
      </c>
      <c r="D306" s="90">
        <v>12.9</v>
      </c>
      <c r="E306" s="88"/>
      <c r="F306" s="88"/>
      <c r="G306" s="88"/>
      <c r="H306" s="53" t="s">
        <v>769</v>
      </c>
      <c r="I306" s="53" t="s">
        <v>812</v>
      </c>
      <c r="J306" s="88">
        <f>자재단가!R27</f>
        <v>1229</v>
      </c>
      <c r="K306" s="88"/>
      <c r="L306" s="88"/>
      <c r="M306" s="88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4">
        <f>AA306+AB306+AC306</f>
        <v>15854.1</v>
      </c>
      <c r="AA306" s="58"/>
      <c r="AB306" s="58">
        <f>TRUNC(D306*J306,1)</f>
        <v>15854.1</v>
      </c>
      <c r="AC306" s="58"/>
      <c r="AD306" s="22" t="s">
        <v>962</v>
      </c>
    </row>
    <row r="307" spans="2:30" ht="19.7" customHeight="1" x14ac:dyDescent="0.2">
      <c r="B307" s="57" t="s">
        <v>85</v>
      </c>
      <c r="C307" s="19" t="s">
        <v>557</v>
      </c>
      <c r="D307" s="90">
        <v>30</v>
      </c>
      <c r="E307" s="88"/>
      <c r="F307" s="88"/>
      <c r="G307" s="88"/>
      <c r="H307" s="53" t="s">
        <v>210</v>
      </c>
      <c r="I307" s="53" t="s">
        <v>812</v>
      </c>
      <c r="J307" s="88">
        <f>AB306</f>
        <v>15854.1</v>
      </c>
      <c r="K307" s="88"/>
      <c r="L307" s="88"/>
      <c r="M307" s="88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4">
        <f>AA307+AB307+AC307</f>
        <v>4756.2</v>
      </c>
      <c r="AA307" s="58"/>
      <c r="AB307" s="58">
        <f>TRUNC(D307/100*J307,1)</f>
        <v>4756.2</v>
      </c>
      <c r="AC307" s="58"/>
      <c r="AD307" s="22" t="s">
        <v>962</v>
      </c>
    </row>
    <row r="308" spans="2:30" ht="19.7" customHeight="1" x14ac:dyDescent="0.2">
      <c r="B308" s="57" t="s">
        <v>78</v>
      </c>
      <c r="C308" s="19" t="s">
        <v>962</v>
      </c>
      <c r="D308" s="92">
        <v>1</v>
      </c>
      <c r="E308" s="88"/>
      <c r="F308" s="88"/>
      <c r="G308" s="53" t="s">
        <v>889</v>
      </c>
      <c r="H308" s="53" t="s">
        <v>812</v>
      </c>
      <c r="I308" s="88">
        <f>노임단가!F24</f>
        <v>226709</v>
      </c>
      <c r="J308" s="88"/>
      <c r="K308" s="88"/>
      <c r="L308" s="88"/>
      <c r="M308" s="53" t="s">
        <v>812</v>
      </c>
      <c r="N308" s="88" t="s">
        <v>683</v>
      </c>
      <c r="O308" s="88"/>
      <c r="P308" s="88"/>
      <c r="Q308" s="88"/>
      <c r="R308" s="88"/>
      <c r="S308" s="88"/>
      <c r="T308" s="88"/>
      <c r="U308" s="88"/>
      <c r="V308" s="88"/>
      <c r="W308" s="53"/>
      <c r="X308" s="53"/>
      <c r="Y308" s="53"/>
      <c r="Z308" s="54">
        <f>AA308+AB308+AC308</f>
        <v>47231</v>
      </c>
      <c r="AA308" s="58">
        <f>TRUNC(D308*I308*기계경비적용기준!E21,1)</f>
        <v>47231</v>
      </c>
      <c r="AB308" s="58"/>
      <c r="AC308" s="58"/>
      <c r="AD308" s="22" t="s">
        <v>962</v>
      </c>
    </row>
    <row r="309" spans="2:30" ht="19.7" customHeight="1" x14ac:dyDescent="0.2">
      <c r="B309" s="57" t="s">
        <v>962</v>
      </c>
      <c r="C309" s="19" t="s">
        <v>962</v>
      </c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27"/>
      <c r="AA309" s="21"/>
      <c r="AB309" s="21"/>
      <c r="AC309" s="21"/>
      <c r="AD309" s="22" t="s">
        <v>962</v>
      </c>
    </row>
    <row r="310" spans="2:30" ht="19.7" customHeight="1" x14ac:dyDescent="0.2">
      <c r="B310" s="51" t="s">
        <v>500</v>
      </c>
      <c r="C310" s="52" t="s">
        <v>263</v>
      </c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4">
        <f>AA310+AB310+AC310</f>
        <v>2463</v>
      </c>
      <c r="AA310" s="55">
        <f>TRUNC(AA311+AA312+AA313)</f>
        <v>0</v>
      </c>
      <c r="AB310" s="55">
        <f>TRUNC(AB311+AB312+AB313)</f>
        <v>2219</v>
      </c>
      <c r="AC310" s="55">
        <f>TRUNC(AC311+AC312+AC313)</f>
        <v>244</v>
      </c>
      <c r="AD310" s="56"/>
    </row>
    <row r="311" spans="2:30" ht="19.7" customHeight="1" x14ac:dyDescent="0.2">
      <c r="B311" s="57" t="s">
        <v>747</v>
      </c>
      <c r="C311" s="19" t="s">
        <v>263</v>
      </c>
      <c r="D311" s="88">
        <v>875000</v>
      </c>
      <c r="E311" s="88"/>
      <c r="F311" s="88"/>
      <c r="G311" s="88"/>
      <c r="H311" s="88"/>
      <c r="I311" s="88" t="s">
        <v>195</v>
      </c>
      <c r="J311" s="88"/>
      <c r="K311" s="88">
        <v>2799</v>
      </c>
      <c r="L311" s="88"/>
      <c r="M311" s="88"/>
      <c r="N311" s="53" t="s">
        <v>812</v>
      </c>
      <c r="O311" s="88" t="s">
        <v>863</v>
      </c>
      <c r="P311" s="88"/>
      <c r="Q311" s="88"/>
      <c r="R311" s="53"/>
      <c r="S311" s="53"/>
      <c r="T311" s="53"/>
      <c r="U311" s="53"/>
      <c r="V311" s="53"/>
      <c r="W311" s="53"/>
      <c r="X311" s="53"/>
      <c r="Y311" s="53"/>
      <c r="Z311" s="54">
        <f>AA311+AB311+AC311</f>
        <v>244.9</v>
      </c>
      <c r="AA311" s="58"/>
      <c r="AB311" s="58"/>
      <c r="AC311" s="58">
        <f>TRUNC(D311*K311*0.0000001,1)</f>
        <v>244.9</v>
      </c>
      <c r="AD311" s="22" t="s">
        <v>936</v>
      </c>
    </row>
    <row r="312" spans="2:30" ht="19.7" customHeight="1" x14ac:dyDescent="0.2">
      <c r="B312" s="59" t="s">
        <v>281</v>
      </c>
      <c r="C312" s="24" t="s">
        <v>962</v>
      </c>
      <c r="D312" s="91">
        <v>1.3</v>
      </c>
      <c r="E312" s="89"/>
      <c r="F312" s="89"/>
      <c r="G312" s="89"/>
      <c r="H312" s="9" t="s">
        <v>769</v>
      </c>
      <c r="I312" s="9" t="s">
        <v>812</v>
      </c>
      <c r="J312" s="89">
        <f>자재단가!R28</f>
        <v>1423</v>
      </c>
      <c r="K312" s="89"/>
      <c r="L312" s="89"/>
      <c r="M312" s="8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60">
        <f>AA312+AB312+AC312</f>
        <v>1849.9</v>
      </c>
      <c r="AA312" s="61"/>
      <c r="AB312" s="61">
        <f>TRUNC(D312*J312,1)</f>
        <v>1849.9</v>
      </c>
      <c r="AC312" s="61"/>
      <c r="AD312" s="26" t="s">
        <v>962</v>
      </c>
    </row>
    <row r="313" spans="2:30" ht="19.7" customHeight="1" x14ac:dyDescent="0.2">
      <c r="B313" s="57" t="s">
        <v>29</v>
      </c>
      <c r="C313" s="19" t="s">
        <v>557</v>
      </c>
      <c r="D313" s="90">
        <v>20</v>
      </c>
      <c r="E313" s="88"/>
      <c r="F313" s="88"/>
      <c r="G313" s="88"/>
      <c r="H313" s="53" t="s">
        <v>210</v>
      </c>
      <c r="I313" s="53" t="s">
        <v>812</v>
      </c>
      <c r="J313" s="88">
        <f>AB312</f>
        <v>1849.9</v>
      </c>
      <c r="K313" s="88"/>
      <c r="L313" s="88"/>
      <c r="M313" s="88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4">
        <f>AA313+AB313+AC313</f>
        <v>369.9</v>
      </c>
      <c r="AA313" s="58"/>
      <c r="AB313" s="58">
        <f>TRUNC(D313/100*J313,1)</f>
        <v>369.9</v>
      </c>
      <c r="AC313" s="58"/>
      <c r="AD313" s="22" t="s">
        <v>962</v>
      </c>
    </row>
    <row r="314" spans="2:30" ht="19.7" customHeight="1" x14ac:dyDescent="0.2">
      <c r="B314" s="57" t="s">
        <v>962</v>
      </c>
      <c r="C314" s="19" t="s">
        <v>962</v>
      </c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27"/>
      <c r="AA314" s="21"/>
      <c r="AB314" s="21"/>
      <c r="AC314" s="21"/>
      <c r="AD314" s="22" t="s">
        <v>962</v>
      </c>
    </row>
    <row r="315" spans="2:30" ht="19.7" customHeight="1" x14ac:dyDescent="0.2">
      <c r="B315" s="51" t="s">
        <v>602</v>
      </c>
      <c r="C315" s="52" t="s">
        <v>179</v>
      </c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4">
        <f>AA315+AB315+AC315</f>
        <v>75325</v>
      </c>
      <c r="AA315" s="55">
        <f>TRUNC(AA316+AA317+AA318+AA319)</f>
        <v>33571</v>
      </c>
      <c r="AB315" s="55">
        <f>TRUNC(AB316+AB317+AB318+AB319)</f>
        <v>26457</v>
      </c>
      <c r="AC315" s="55">
        <f>TRUNC(AC316+AC317+AC318+AC319)</f>
        <v>15297</v>
      </c>
      <c r="AD315" s="56"/>
    </row>
    <row r="316" spans="2:30" ht="19.7" customHeight="1" x14ac:dyDescent="0.2">
      <c r="B316" s="57" t="s">
        <v>930</v>
      </c>
      <c r="C316" s="19" t="s">
        <v>179</v>
      </c>
      <c r="D316" s="88">
        <v>64766000</v>
      </c>
      <c r="E316" s="88"/>
      <c r="F316" s="88"/>
      <c r="G316" s="88"/>
      <c r="H316" s="88"/>
      <c r="I316" s="88" t="s">
        <v>195</v>
      </c>
      <c r="J316" s="88"/>
      <c r="K316" s="88">
        <v>2362</v>
      </c>
      <c r="L316" s="88"/>
      <c r="M316" s="88"/>
      <c r="N316" s="53" t="s">
        <v>812</v>
      </c>
      <c r="O316" s="88" t="s">
        <v>863</v>
      </c>
      <c r="P316" s="88"/>
      <c r="Q316" s="88"/>
      <c r="R316" s="53"/>
      <c r="S316" s="53"/>
      <c r="T316" s="53"/>
      <c r="U316" s="53"/>
      <c r="V316" s="53"/>
      <c r="W316" s="53"/>
      <c r="X316" s="53"/>
      <c r="Y316" s="53"/>
      <c r="Z316" s="54">
        <f>AA316+AB316+AC316</f>
        <v>15297.7</v>
      </c>
      <c r="AA316" s="58"/>
      <c r="AB316" s="58"/>
      <c r="AC316" s="58">
        <f>TRUNC(D316*K316*0.0000001,1)</f>
        <v>15297.7</v>
      </c>
      <c r="AD316" s="22" t="s">
        <v>936</v>
      </c>
    </row>
    <row r="317" spans="2:30" ht="19.7" customHeight="1" x14ac:dyDescent="0.2">
      <c r="B317" s="57" t="s">
        <v>160</v>
      </c>
      <c r="C317" s="19" t="s">
        <v>962</v>
      </c>
      <c r="D317" s="90">
        <v>20.7</v>
      </c>
      <c r="E317" s="88"/>
      <c r="F317" s="88"/>
      <c r="G317" s="88"/>
      <c r="H317" s="53" t="s">
        <v>769</v>
      </c>
      <c r="I317" s="53" t="s">
        <v>812</v>
      </c>
      <c r="J317" s="88">
        <f>자재단가!R27</f>
        <v>1229</v>
      </c>
      <c r="K317" s="88"/>
      <c r="L317" s="88"/>
      <c r="M317" s="88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4">
        <f>AA317+AB317+AC317</f>
        <v>25440.3</v>
      </c>
      <c r="AA317" s="58"/>
      <c r="AB317" s="58">
        <f>TRUNC(D317*J317,1)</f>
        <v>25440.3</v>
      </c>
      <c r="AC317" s="58"/>
      <c r="AD317" s="22" t="s">
        <v>962</v>
      </c>
    </row>
    <row r="318" spans="2:30" ht="19.7" customHeight="1" x14ac:dyDescent="0.2">
      <c r="B318" s="57" t="s">
        <v>85</v>
      </c>
      <c r="C318" s="19" t="s">
        <v>557</v>
      </c>
      <c r="D318" s="90">
        <v>4</v>
      </c>
      <c r="E318" s="88"/>
      <c r="F318" s="88"/>
      <c r="G318" s="88"/>
      <c r="H318" s="53" t="s">
        <v>210</v>
      </c>
      <c r="I318" s="53" t="s">
        <v>812</v>
      </c>
      <c r="J318" s="88">
        <f>AB317</f>
        <v>25440.3</v>
      </c>
      <c r="K318" s="88"/>
      <c r="L318" s="88"/>
      <c r="M318" s="88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4">
        <f>AA318+AB318+AC318</f>
        <v>1017.6</v>
      </c>
      <c r="AA318" s="58"/>
      <c r="AB318" s="58">
        <f>TRUNC(D318/100*J318,1)</f>
        <v>1017.6</v>
      </c>
      <c r="AC318" s="58"/>
      <c r="AD318" s="22" t="s">
        <v>962</v>
      </c>
    </row>
    <row r="319" spans="2:30" ht="19.7" customHeight="1" x14ac:dyDescent="0.2">
      <c r="B319" s="57" t="s">
        <v>493</v>
      </c>
      <c r="C319" s="19" t="s">
        <v>962</v>
      </c>
      <c r="D319" s="92">
        <v>1</v>
      </c>
      <c r="E319" s="88"/>
      <c r="F319" s="88"/>
      <c r="G319" s="53" t="s">
        <v>889</v>
      </c>
      <c r="H319" s="53" t="s">
        <v>812</v>
      </c>
      <c r="I319" s="88">
        <f>노임단가!F25</f>
        <v>161142</v>
      </c>
      <c r="J319" s="88"/>
      <c r="K319" s="88"/>
      <c r="L319" s="88"/>
      <c r="M319" s="53" t="s">
        <v>812</v>
      </c>
      <c r="N319" s="88" t="s">
        <v>683</v>
      </c>
      <c r="O319" s="88"/>
      <c r="P319" s="88"/>
      <c r="Q319" s="88"/>
      <c r="R319" s="88"/>
      <c r="S319" s="88"/>
      <c r="T319" s="88"/>
      <c r="U319" s="88"/>
      <c r="V319" s="88"/>
      <c r="W319" s="53"/>
      <c r="X319" s="53"/>
      <c r="Y319" s="53"/>
      <c r="Z319" s="54">
        <f>AA319+AB319+AC319</f>
        <v>33571.199999999997</v>
      </c>
      <c r="AA319" s="58">
        <f>TRUNC(D319*I319*기계경비적용기준!E21,1)</f>
        <v>33571.199999999997</v>
      </c>
      <c r="AB319" s="58"/>
      <c r="AC319" s="58"/>
      <c r="AD319" s="22" t="s">
        <v>962</v>
      </c>
    </row>
    <row r="320" spans="2:30" ht="19.7" customHeight="1" x14ac:dyDescent="0.2">
      <c r="B320" s="57" t="s">
        <v>962</v>
      </c>
      <c r="C320" s="19" t="s">
        <v>962</v>
      </c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27"/>
      <c r="AA320" s="21"/>
      <c r="AB320" s="21"/>
      <c r="AC320" s="21"/>
      <c r="AD320" s="22" t="s">
        <v>962</v>
      </c>
    </row>
    <row r="321" spans="2:30" ht="19.7" customHeight="1" x14ac:dyDescent="0.2">
      <c r="B321" s="51" t="s">
        <v>401</v>
      </c>
      <c r="C321" s="52" t="s">
        <v>821</v>
      </c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4">
        <f>AA321+AB321+AC321</f>
        <v>51276</v>
      </c>
      <c r="AA321" s="55">
        <f>TRUNC(AA322+AA323+AA324+AA325)</f>
        <v>33571</v>
      </c>
      <c r="AB321" s="55">
        <f>TRUNC(AB322+AB323+AB324+AB325)</f>
        <v>13258</v>
      </c>
      <c r="AC321" s="55">
        <f>TRUNC(AC322+AC323+AC324+AC325)</f>
        <v>4447</v>
      </c>
      <c r="AD321" s="56"/>
    </row>
    <row r="322" spans="2:30" ht="19.7" customHeight="1" x14ac:dyDescent="0.2">
      <c r="B322" s="57" t="s">
        <v>20</v>
      </c>
      <c r="C322" s="19" t="s">
        <v>821</v>
      </c>
      <c r="D322" s="88">
        <v>18829000</v>
      </c>
      <c r="E322" s="88"/>
      <c r="F322" s="88"/>
      <c r="G322" s="88"/>
      <c r="H322" s="88"/>
      <c r="I322" s="88" t="s">
        <v>195</v>
      </c>
      <c r="J322" s="88"/>
      <c r="K322" s="88">
        <v>2362</v>
      </c>
      <c r="L322" s="88"/>
      <c r="M322" s="88"/>
      <c r="N322" s="53" t="s">
        <v>812</v>
      </c>
      <c r="O322" s="88" t="s">
        <v>863</v>
      </c>
      <c r="P322" s="88"/>
      <c r="Q322" s="88"/>
      <c r="R322" s="53"/>
      <c r="S322" s="53"/>
      <c r="T322" s="53"/>
      <c r="U322" s="53"/>
      <c r="V322" s="53"/>
      <c r="W322" s="53"/>
      <c r="X322" s="53"/>
      <c r="Y322" s="53"/>
      <c r="Z322" s="54">
        <f>AA322+AB322+AC322</f>
        <v>4447.3999999999996</v>
      </c>
      <c r="AA322" s="58"/>
      <c r="AB322" s="58"/>
      <c r="AC322" s="58">
        <f>TRUNC(D322*K322*0.0000001,1)</f>
        <v>4447.3999999999996</v>
      </c>
      <c r="AD322" s="22" t="s">
        <v>936</v>
      </c>
    </row>
    <row r="323" spans="2:30" ht="19.7" customHeight="1" x14ac:dyDescent="0.2">
      <c r="B323" s="57" t="s">
        <v>160</v>
      </c>
      <c r="C323" s="19" t="s">
        <v>962</v>
      </c>
      <c r="D323" s="90">
        <v>8.6999999999999993</v>
      </c>
      <c r="E323" s="88"/>
      <c r="F323" s="88"/>
      <c r="G323" s="88"/>
      <c r="H323" s="53" t="s">
        <v>769</v>
      </c>
      <c r="I323" s="53" t="s">
        <v>812</v>
      </c>
      <c r="J323" s="88">
        <f>자재단가!R27</f>
        <v>1229</v>
      </c>
      <c r="K323" s="88"/>
      <c r="L323" s="88"/>
      <c r="M323" s="88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4">
        <f>AA323+AB323+AC323</f>
        <v>10692.3</v>
      </c>
      <c r="AA323" s="58"/>
      <c r="AB323" s="58">
        <f>TRUNC(D323*J323,1)</f>
        <v>10692.3</v>
      </c>
      <c r="AC323" s="58"/>
      <c r="AD323" s="22" t="s">
        <v>962</v>
      </c>
    </row>
    <row r="324" spans="2:30" ht="19.7" customHeight="1" x14ac:dyDescent="0.2">
      <c r="B324" s="57" t="s">
        <v>85</v>
      </c>
      <c r="C324" s="19" t="s">
        <v>557</v>
      </c>
      <c r="D324" s="90">
        <v>24</v>
      </c>
      <c r="E324" s="88"/>
      <c r="F324" s="88"/>
      <c r="G324" s="88"/>
      <c r="H324" s="53" t="s">
        <v>210</v>
      </c>
      <c r="I324" s="53" t="s">
        <v>812</v>
      </c>
      <c r="J324" s="88">
        <f>AB323</f>
        <v>10692.3</v>
      </c>
      <c r="K324" s="88"/>
      <c r="L324" s="88"/>
      <c r="M324" s="88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4">
        <f>AA324+AB324+AC324</f>
        <v>2566.1</v>
      </c>
      <c r="AA324" s="58"/>
      <c r="AB324" s="58">
        <f>TRUNC(D324/100*J324,1)</f>
        <v>2566.1</v>
      </c>
      <c r="AC324" s="58"/>
      <c r="AD324" s="22" t="s">
        <v>962</v>
      </c>
    </row>
    <row r="325" spans="2:30" ht="19.7" customHeight="1" x14ac:dyDescent="0.2">
      <c r="B325" s="57" t="s">
        <v>493</v>
      </c>
      <c r="C325" s="19" t="s">
        <v>962</v>
      </c>
      <c r="D325" s="92">
        <v>1</v>
      </c>
      <c r="E325" s="88"/>
      <c r="F325" s="88"/>
      <c r="G325" s="53" t="s">
        <v>889</v>
      </c>
      <c r="H325" s="53" t="s">
        <v>812</v>
      </c>
      <c r="I325" s="88">
        <f>노임단가!F25</f>
        <v>161142</v>
      </c>
      <c r="J325" s="88"/>
      <c r="K325" s="88"/>
      <c r="L325" s="88"/>
      <c r="M325" s="53" t="s">
        <v>812</v>
      </c>
      <c r="N325" s="88" t="s">
        <v>683</v>
      </c>
      <c r="O325" s="88"/>
      <c r="P325" s="88"/>
      <c r="Q325" s="88"/>
      <c r="R325" s="88"/>
      <c r="S325" s="88"/>
      <c r="T325" s="88"/>
      <c r="U325" s="88"/>
      <c r="V325" s="88"/>
      <c r="W325" s="53"/>
      <c r="X325" s="53"/>
      <c r="Y325" s="53"/>
      <c r="Z325" s="54">
        <f>AA325+AB325+AC325</f>
        <v>33571.199999999997</v>
      </c>
      <c r="AA325" s="58">
        <f>TRUNC(D325*I325*기계경비적용기준!E21,1)</f>
        <v>33571.199999999997</v>
      </c>
      <c r="AB325" s="58"/>
      <c r="AC325" s="58"/>
      <c r="AD325" s="22" t="s">
        <v>962</v>
      </c>
    </row>
    <row r="326" spans="2:30" ht="19.7" customHeight="1" x14ac:dyDescent="0.2">
      <c r="B326" s="57" t="s">
        <v>962</v>
      </c>
      <c r="C326" s="19" t="s">
        <v>962</v>
      </c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27"/>
      <c r="AA326" s="21"/>
      <c r="AB326" s="21"/>
      <c r="AC326" s="21"/>
      <c r="AD326" s="22" t="s">
        <v>962</v>
      </c>
    </row>
    <row r="327" spans="2:30" ht="19.7" customHeight="1" x14ac:dyDescent="0.2">
      <c r="B327" s="51" t="s">
        <v>31</v>
      </c>
      <c r="C327" s="52" t="s">
        <v>834</v>
      </c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4">
        <f>AA327+AB327+AC327</f>
        <v>65490</v>
      </c>
      <c r="AA327" s="55">
        <f>TRUNC(AA328+AA329+AA330+AA331)</f>
        <v>33571</v>
      </c>
      <c r="AB327" s="55">
        <f>TRUNC(AB328+AB329+AB330+AB331)</f>
        <v>26516</v>
      </c>
      <c r="AC327" s="55">
        <f>TRUNC(AC328+AC329+AC330+AC331)</f>
        <v>5403</v>
      </c>
      <c r="AD327" s="56"/>
    </row>
    <row r="328" spans="2:30" ht="19.7" customHeight="1" x14ac:dyDescent="0.2">
      <c r="B328" s="57" t="s">
        <v>20</v>
      </c>
      <c r="C328" s="19" t="s">
        <v>834</v>
      </c>
      <c r="D328" s="88">
        <v>22877000</v>
      </c>
      <c r="E328" s="88"/>
      <c r="F328" s="88"/>
      <c r="G328" s="88"/>
      <c r="H328" s="88"/>
      <c r="I328" s="88" t="s">
        <v>195</v>
      </c>
      <c r="J328" s="88"/>
      <c r="K328" s="88">
        <v>2362</v>
      </c>
      <c r="L328" s="88"/>
      <c r="M328" s="88"/>
      <c r="N328" s="53" t="s">
        <v>812</v>
      </c>
      <c r="O328" s="88" t="s">
        <v>863</v>
      </c>
      <c r="P328" s="88"/>
      <c r="Q328" s="88"/>
      <c r="R328" s="53"/>
      <c r="S328" s="53"/>
      <c r="T328" s="53"/>
      <c r="U328" s="53"/>
      <c r="V328" s="53"/>
      <c r="W328" s="53"/>
      <c r="X328" s="53"/>
      <c r="Y328" s="53"/>
      <c r="Z328" s="54">
        <f>AA328+AB328+AC328</f>
        <v>5403.5</v>
      </c>
      <c r="AA328" s="58"/>
      <c r="AB328" s="58"/>
      <c r="AC328" s="58">
        <f>TRUNC(D328*K328*0.0000001,1)</f>
        <v>5403.5</v>
      </c>
      <c r="AD328" s="22" t="s">
        <v>936</v>
      </c>
    </row>
    <row r="329" spans="2:30" ht="19.7" customHeight="1" x14ac:dyDescent="0.2">
      <c r="B329" s="57" t="s">
        <v>160</v>
      </c>
      <c r="C329" s="19" t="s">
        <v>962</v>
      </c>
      <c r="D329" s="90">
        <v>17.399999999999999</v>
      </c>
      <c r="E329" s="88"/>
      <c r="F329" s="88"/>
      <c r="G329" s="88"/>
      <c r="H329" s="53" t="s">
        <v>769</v>
      </c>
      <c r="I329" s="53" t="s">
        <v>812</v>
      </c>
      <c r="J329" s="88">
        <f>자재단가!R27</f>
        <v>1229</v>
      </c>
      <c r="K329" s="88"/>
      <c r="L329" s="88"/>
      <c r="M329" s="88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4">
        <f>AA329+AB329+AC329</f>
        <v>21384.6</v>
      </c>
      <c r="AA329" s="58"/>
      <c r="AB329" s="58">
        <f>TRUNC(D329*J329,1)</f>
        <v>21384.6</v>
      </c>
      <c r="AC329" s="58"/>
      <c r="AD329" s="22" t="s">
        <v>962</v>
      </c>
    </row>
    <row r="330" spans="2:30" ht="19.7" customHeight="1" x14ac:dyDescent="0.2">
      <c r="B330" s="57" t="s">
        <v>85</v>
      </c>
      <c r="C330" s="19" t="s">
        <v>557</v>
      </c>
      <c r="D330" s="90">
        <v>24</v>
      </c>
      <c r="E330" s="88"/>
      <c r="F330" s="88"/>
      <c r="G330" s="88"/>
      <c r="H330" s="53" t="s">
        <v>210</v>
      </c>
      <c r="I330" s="53" t="s">
        <v>812</v>
      </c>
      <c r="J330" s="88">
        <f>AB329</f>
        <v>21384.6</v>
      </c>
      <c r="K330" s="88"/>
      <c r="L330" s="88"/>
      <c r="M330" s="88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4">
        <f>AA330+AB330+AC330</f>
        <v>5132.3</v>
      </c>
      <c r="AA330" s="58"/>
      <c r="AB330" s="58">
        <f>TRUNC(D330/100*J330,1)</f>
        <v>5132.3</v>
      </c>
      <c r="AC330" s="58"/>
      <c r="AD330" s="22" t="s">
        <v>962</v>
      </c>
    </row>
    <row r="331" spans="2:30" ht="19.7" customHeight="1" x14ac:dyDescent="0.2">
      <c r="B331" s="57" t="s">
        <v>493</v>
      </c>
      <c r="C331" s="19" t="s">
        <v>962</v>
      </c>
      <c r="D331" s="92">
        <v>1</v>
      </c>
      <c r="E331" s="88"/>
      <c r="F331" s="88"/>
      <c r="G331" s="53" t="s">
        <v>889</v>
      </c>
      <c r="H331" s="53" t="s">
        <v>812</v>
      </c>
      <c r="I331" s="88">
        <f>노임단가!F25</f>
        <v>161142</v>
      </c>
      <c r="J331" s="88"/>
      <c r="K331" s="88"/>
      <c r="L331" s="88"/>
      <c r="M331" s="53" t="s">
        <v>812</v>
      </c>
      <c r="N331" s="88" t="s">
        <v>683</v>
      </c>
      <c r="O331" s="88"/>
      <c r="P331" s="88"/>
      <c r="Q331" s="88"/>
      <c r="R331" s="88"/>
      <c r="S331" s="88"/>
      <c r="T331" s="88"/>
      <c r="U331" s="88"/>
      <c r="V331" s="88"/>
      <c r="W331" s="53"/>
      <c r="X331" s="53"/>
      <c r="Y331" s="53"/>
      <c r="Z331" s="54">
        <f>AA331+AB331+AC331</f>
        <v>33571.199999999997</v>
      </c>
      <c r="AA331" s="58">
        <f>TRUNC(D331*I331*기계경비적용기준!E21,1)</f>
        <v>33571.199999999997</v>
      </c>
      <c r="AB331" s="58"/>
      <c r="AC331" s="58"/>
      <c r="AD331" s="22" t="s">
        <v>962</v>
      </c>
    </row>
    <row r="332" spans="2:30" ht="19.7" customHeight="1" x14ac:dyDescent="0.2">
      <c r="B332" s="57" t="s">
        <v>962</v>
      </c>
      <c r="C332" s="19" t="s">
        <v>962</v>
      </c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27"/>
      <c r="AA332" s="21"/>
      <c r="AB332" s="21"/>
      <c r="AC332" s="21"/>
      <c r="AD332" s="22" t="s">
        <v>962</v>
      </c>
    </row>
    <row r="333" spans="2:30" ht="19.7" customHeight="1" x14ac:dyDescent="0.2">
      <c r="B333" s="51" t="s">
        <v>293</v>
      </c>
      <c r="C333" s="52" t="s">
        <v>882</v>
      </c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4">
        <f>AA333+AB333+AC333</f>
        <v>75419</v>
      </c>
      <c r="AA333" s="55">
        <f>TRUNC(AA334+AA335+AA336+AA337)</f>
        <v>33571</v>
      </c>
      <c r="AB333" s="55">
        <f>TRUNC(AB334+AB335+AB336+AB337)</f>
        <v>35051</v>
      </c>
      <c r="AC333" s="55">
        <f>TRUNC(AC334+AC335+AC336+AC337)</f>
        <v>6797</v>
      </c>
      <c r="AD333" s="56"/>
    </row>
    <row r="334" spans="2:30" ht="19.7" customHeight="1" x14ac:dyDescent="0.2">
      <c r="B334" s="57" t="s">
        <v>20</v>
      </c>
      <c r="C334" s="19" t="s">
        <v>882</v>
      </c>
      <c r="D334" s="88">
        <v>28778000</v>
      </c>
      <c r="E334" s="88"/>
      <c r="F334" s="88"/>
      <c r="G334" s="88"/>
      <c r="H334" s="88"/>
      <c r="I334" s="88" t="s">
        <v>195</v>
      </c>
      <c r="J334" s="88"/>
      <c r="K334" s="88">
        <v>2362</v>
      </c>
      <c r="L334" s="88"/>
      <c r="M334" s="88"/>
      <c r="N334" s="53" t="s">
        <v>812</v>
      </c>
      <c r="O334" s="88" t="s">
        <v>863</v>
      </c>
      <c r="P334" s="88"/>
      <c r="Q334" s="88"/>
      <c r="R334" s="53"/>
      <c r="S334" s="53"/>
      <c r="T334" s="53"/>
      <c r="U334" s="53"/>
      <c r="V334" s="53"/>
      <c r="W334" s="53"/>
      <c r="X334" s="53"/>
      <c r="Y334" s="53"/>
      <c r="Z334" s="54">
        <f>AA334+AB334+AC334</f>
        <v>6797.3</v>
      </c>
      <c r="AA334" s="58"/>
      <c r="AB334" s="58"/>
      <c r="AC334" s="58">
        <f>TRUNC(D334*K334*0.0000001,1)</f>
        <v>6797.3</v>
      </c>
      <c r="AD334" s="22" t="s">
        <v>936</v>
      </c>
    </row>
    <row r="335" spans="2:30" ht="19.7" customHeight="1" x14ac:dyDescent="0.2">
      <c r="B335" s="57" t="s">
        <v>160</v>
      </c>
      <c r="C335" s="19" t="s">
        <v>962</v>
      </c>
      <c r="D335" s="90">
        <v>23</v>
      </c>
      <c r="E335" s="88"/>
      <c r="F335" s="88"/>
      <c r="G335" s="88"/>
      <c r="H335" s="53" t="s">
        <v>769</v>
      </c>
      <c r="I335" s="53" t="s">
        <v>812</v>
      </c>
      <c r="J335" s="88">
        <f>자재단가!R27</f>
        <v>1229</v>
      </c>
      <c r="K335" s="88"/>
      <c r="L335" s="88"/>
      <c r="M335" s="88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4">
        <f>AA335+AB335+AC335</f>
        <v>28267</v>
      </c>
      <c r="AA335" s="58"/>
      <c r="AB335" s="58">
        <f>TRUNC(D335*J335,1)</f>
        <v>28267</v>
      </c>
      <c r="AC335" s="58"/>
      <c r="AD335" s="22" t="s">
        <v>962</v>
      </c>
    </row>
    <row r="336" spans="2:30" ht="19.7" customHeight="1" x14ac:dyDescent="0.2">
      <c r="B336" s="57" t="s">
        <v>85</v>
      </c>
      <c r="C336" s="19" t="s">
        <v>557</v>
      </c>
      <c r="D336" s="90">
        <v>24</v>
      </c>
      <c r="E336" s="88"/>
      <c r="F336" s="88"/>
      <c r="G336" s="88"/>
      <c r="H336" s="53" t="s">
        <v>210</v>
      </c>
      <c r="I336" s="53" t="s">
        <v>812</v>
      </c>
      <c r="J336" s="88">
        <f>AB335</f>
        <v>28267</v>
      </c>
      <c r="K336" s="88"/>
      <c r="L336" s="88"/>
      <c r="M336" s="88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4">
        <f>AA336+AB336+AC336</f>
        <v>6784</v>
      </c>
      <c r="AA336" s="58"/>
      <c r="AB336" s="58">
        <f>TRUNC(D336/100*J336,1)</f>
        <v>6784</v>
      </c>
      <c r="AC336" s="58"/>
      <c r="AD336" s="22" t="s">
        <v>962</v>
      </c>
    </row>
    <row r="337" spans="2:30" ht="19.7" customHeight="1" x14ac:dyDescent="0.2">
      <c r="B337" s="57" t="s">
        <v>493</v>
      </c>
      <c r="C337" s="19" t="s">
        <v>962</v>
      </c>
      <c r="D337" s="92">
        <v>1</v>
      </c>
      <c r="E337" s="88"/>
      <c r="F337" s="88"/>
      <c r="G337" s="53" t="s">
        <v>889</v>
      </c>
      <c r="H337" s="53" t="s">
        <v>812</v>
      </c>
      <c r="I337" s="88">
        <f>노임단가!F25</f>
        <v>161142</v>
      </c>
      <c r="J337" s="88"/>
      <c r="K337" s="88"/>
      <c r="L337" s="88"/>
      <c r="M337" s="53" t="s">
        <v>812</v>
      </c>
      <c r="N337" s="88" t="s">
        <v>683</v>
      </c>
      <c r="O337" s="88"/>
      <c r="P337" s="88"/>
      <c r="Q337" s="88"/>
      <c r="R337" s="88"/>
      <c r="S337" s="88"/>
      <c r="T337" s="88"/>
      <c r="U337" s="88"/>
      <c r="V337" s="88"/>
      <c r="W337" s="53"/>
      <c r="X337" s="53"/>
      <c r="Y337" s="53"/>
      <c r="Z337" s="54">
        <f>AA337+AB337+AC337</f>
        <v>33571.199999999997</v>
      </c>
      <c r="AA337" s="58">
        <f>TRUNC(D337*I337*기계경비적용기준!E21,1)</f>
        <v>33571.199999999997</v>
      </c>
      <c r="AB337" s="58"/>
      <c r="AC337" s="58"/>
      <c r="AD337" s="22" t="s">
        <v>962</v>
      </c>
    </row>
    <row r="338" spans="2:30" ht="19.7" customHeight="1" x14ac:dyDescent="0.2">
      <c r="B338" s="57" t="s">
        <v>962</v>
      </c>
      <c r="C338" s="19" t="s">
        <v>962</v>
      </c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27"/>
      <c r="AA338" s="21"/>
      <c r="AB338" s="21"/>
      <c r="AC338" s="21"/>
      <c r="AD338" s="22" t="s">
        <v>962</v>
      </c>
    </row>
    <row r="339" spans="2:30" ht="19.7" customHeight="1" x14ac:dyDescent="0.2">
      <c r="B339" s="51" t="s">
        <v>125</v>
      </c>
      <c r="C339" s="52" t="s">
        <v>59</v>
      </c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4">
        <f>AA339+AB339+AC339</f>
        <v>89044</v>
      </c>
      <c r="AA339" s="55">
        <f>TRUNC(AA340+AA341+AA342+AA343)</f>
        <v>33571</v>
      </c>
      <c r="AB339" s="55">
        <f>TRUNC(AB340+AB341+AB342+AB343)</f>
        <v>46633</v>
      </c>
      <c r="AC339" s="55">
        <f>TRUNC(AC340+AC341+AC342+AC343)</f>
        <v>8840</v>
      </c>
      <c r="AD339" s="56"/>
    </row>
    <row r="340" spans="2:30" ht="19.7" customHeight="1" x14ac:dyDescent="0.2">
      <c r="B340" s="59" t="s">
        <v>20</v>
      </c>
      <c r="C340" s="24" t="s">
        <v>59</v>
      </c>
      <c r="D340" s="89">
        <v>37430000</v>
      </c>
      <c r="E340" s="89"/>
      <c r="F340" s="89"/>
      <c r="G340" s="89"/>
      <c r="H340" s="89"/>
      <c r="I340" s="89" t="s">
        <v>195</v>
      </c>
      <c r="J340" s="89"/>
      <c r="K340" s="89">
        <v>2362</v>
      </c>
      <c r="L340" s="89"/>
      <c r="M340" s="89"/>
      <c r="N340" s="9" t="s">
        <v>812</v>
      </c>
      <c r="O340" s="89" t="s">
        <v>863</v>
      </c>
      <c r="P340" s="89"/>
      <c r="Q340" s="89"/>
      <c r="R340" s="9"/>
      <c r="S340" s="9"/>
      <c r="T340" s="9"/>
      <c r="U340" s="9"/>
      <c r="V340" s="9"/>
      <c r="W340" s="9"/>
      <c r="X340" s="9"/>
      <c r="Y340" s="9"/>
      <c r="Z340" s="60">
        <f>AA340+AB340+AC340</f>
        <v>8840.9</v>
      </c>
      <c r="AA340" s="61"/>
      <c r="AB340" s="61"/>
      <c r="AC340" s="61">
        <f>TRUNC(D340*K340*0.0000001,1)</f>
        <v>8840.9</v>
      </c>
      <c r="AD340" s="26" t="s">
        <v>936</v>
      </c>
    </row>
    <row r="341" spans="2:30" ht="19.7" customHeight="1" x14ac:dyDescent="0.2">
      <c r="B341" s="57" t="s">
        <v>160</v>
      </c>
      <c r="C341" s="19" t="s">
        <v>962</v>
      </c>
      <c r="D341" s="90">
        <v>30.6</v>
      </c>
      <c r="E341" s="88"/>
      <c r="F341" s="88"/>
      <c r="G341" s="88"/>
      <c r="H341" s="53" t="s">
        <v>769</v>
      </c>
      <c r="I341" s="53" t="s">
        <v>812</v>
      </c>
      <c r="J341" s="88">
        <f>자재단가!R27</f>
        <v>1229</v>
      </c>
      <c r="K341" s="88"/>
      <c r="L341" s="88"/>
      <c r="M341" s="88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4">
        <f>AA341+AB341+AC341</f>
        <v>37607.4</v>
      </c>
      <c r="AA341" s="58"/>
      <c r="AB341" s="58">
        <f>TRUNC(D341*J341,1)</f>
        <v>37607.4</v>
      </c>
      <c r="AC341" s="58"/>
      <c r="AD341" s="22" t="s">
        <v>962</v>
      </c>
    </row>
    <row r="342" spans="2:30" ht="19.7" customHeight="1" x14ac:dyDescent="0.2">
      <c r="B342" s="57" t="s">
        <v>85</v>
      </c>
      <c r="C342" s="19" t="s">
        <v>557</v>
      </c>
      <c r="D342" s="90">
        <v>24</v>
      </c>
      <c r="E342" s="88"/>
      <c r="F342" s="88"/>
      <c r="G342" s="88"/>
      <c r="H342" s="53" t="s">
        <v>210</v>
      </c>
      <c r="I342" s="53" t="s">
        <v>812</v>
      </c>
      <c r="J342" s="88">
        <f>AB341</f>
        <v>37607.4</v>
      </c>
      <c r="K342" s="88"/>
      <c r="L342" s="88"/>
      <c r="M342" s="88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4">
        <f>AA342+AB342+AC342</f>
        <v>9025.7000000000007</v>
      </c>
      <c r="AA342" s="58"/>
      <c r="AB342" s="58">
        <f>TRUNC(D342/100*J342,1)</f>
        <v>9025.7000000000007</v>
      </c>
      <c r="AC342" s="58"/>
      <c r="AD342" s="22" t="s">
        <v>962</v>
      </c>
    </row>
    <row r="343" spans="2:30" ht="19.7" customHeight="1" x14ac:dyDescent="0.2">
      <c r="B343" s="57" t="s">
        <v>493</v>
      </c>
      <c r="C343" s="19" t="s">
        <v>962</v>
      </c>
      <c r="D343" s="92">
        <v>1</v>
      </c>
      <c r="E343" s="88"/>
      <c r="F343" s="88"/>
      <c r="G343" s="53" t="s">
        <v>889</v>
      </c>
      <c r="H343" s="53" t="s">
        <v>812</v>
      </c>
      <c r="I343" s="88">
        <f>노임단가!F25</f>
        <v>161142</v>
      </c>
      <c r="J343" s="88"/>
      <c r="K343" s="88"/>
      <c r="L343" s="88"/>
      <c r="M343" s="53" t="s">
        <v>812</v>
      </c>
      <c r="N343" s="88" t="s">
        <v>683</v>
      </c>
      <c r="O343" s="88"/>
      <c r="P343" s="88"/>
      <c r="Q343" s="88"/>
      <c r="R343" s="88"/>
      <c r="S343" s="88"/>
      <c r="T343" s="88"/>
      <c r="U343" s="88"/>
      <c r="V343" s="88"/>
      <c r="W343" s="53"/>
      <c r="X343" s="53"/>
      <c r="Y343" s="53"/>
      <c r="Z343" s="54">
        <f>AA343+AB343+AC343</f>
        <v>33571.199999999997</v>
      </c>
      <c r="AA343" s="58">
        <f>TRUNC(D343*I343*기계경비적용기준!E21,1)</f>
        <v>33571.199999999997</v>
      </c>
      <c r="AB343" s="58"/>
      <c r="AC343" s="58"/>
      <c r="AD343" s="22" t="s">
        <v>962</v>
      </c>
    </row>
    <row r="344" spans="2:30" ht="19.7" customHeight="1" x14ac:dyDescent="0.2">
      <c r="B344" s="57" t="s">
        <v>962</v>
      </c>
      <c r="C344" s="19" t="s">
        <v>962</v>
      </c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27"/>
      <c r="AA344" s="21"/>
      <c r="AB344" s="21"/>
      <c r="AC344" s="21"/>
      <c r="AD344" s="22" t="s">
        <v>962</v>
      </c>
    </row>
    <row r="345" spans="2:30" ht="19.7" customHeight="1" x14ac:dyDescent="0.2">
      <c r="B345" s="51" t="s">
        <v>790</v>
      </c>
      <c r="C345" s="52" t="s">
        <v>240</v>
      </c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4">
        <f>AA345+AB345+AC345</f>
        <v>103669</v>
      </c>
      <c r="AA345" s="55">
        <f>TRUNC(AA346+AA347+AA348+AA349)</f>
        <v>33571</v>
      </c>
      <c r="AB345" s="55">
        <f>TRUNC(AB346+AB347+AB348+AB349)</f>
        <v>58367</v>
      </c>
      <c r="AC345" s="55">
        <f>TRUNC(AC346+AC347+AC348+AC349)</f>
        <v>11731</v>
      </c>
      <c r="AD345" s="56"/>
    </row>
    <row r="346" spans="2:30" ht="19.7" customHeight="1" x14ac:dyDescent="0.2">
      <c r="B346" s="57" t="s">
        <v>20</v>
      </c>
      <c r="C346" s="19" t="s">
        <v>240</v>
      </c>
      <c r="D346" s="88">
        <v>49666000</v>
      </c>
      <c r="E346" s="88"/>
      <c r="F346" s="88"/>
      <c r="G346" s="88"/>
      <c r="H346" s="88"/>
      <c r="I346" s="88" t="s">
        <v>195</v>
      </c>
      <c r="J346" s="88"/>
      <c r="K346" s="88">
        <v>2362</v>
      </c>
      <c r="L346" s="88"/>
      <c r="M346" s="88"/>
      <c r="N346" s="53" t="s">
        <v>812</v>
      </c>
      <c r="O346" s="88" t="s">
        <v>863</v>
      </c>
      <c r="P346" s="88"/>
      <c r="Q346" s="88"/>
      <c r="R346" s="53"/>
      <c r="S346" s="53"/>
      <c r="T346" s="53"/>
      <c r="U346" s="53"/>
      <c r="V346" s="53"/>
      <c r="W346" s="53"/>
      <c r="X346" s="53"/>
      <c r="Y346" s="53"/>
      <c r="Z346" s="54">
        <f>AA346+AB346+AC346</f>
        <v>11731.1</v>
      </c>
      <c r="AA346" s="58"/>
      <c r="AB346" s="58"/>
      <c r="AC346" s="58">
        <f>TRUNC(D346*K346*0.0000001,1)</f>
        <v>11731.1</v>
      </c>
      <c r="AD346" s="22" t="s">
        <v>936</v>
      </c>
    </row>
    <row r="347" spans="2:30" ht="19.7" customHeight="1" x14ac:dyDescent="0.2">
      <c r="B347" s="57" t="s">
        <v>160</v>
      </c>
      <c r="C347" s="19" t="s">
        <v>962</v>
      </c>
      <c r="D347" s="90">
        <v>38.299999999999997</v>
      </c>
      <c r="E347" s="88"/>
      <c r="F347" s="88"/>
      <c r="G347" s="88"/>
      <c r="H347" s="53" t="s">
        <v>769</v>
      </c>
      <c r="I347" s="53" t="s">
        <v>812</v>
      </c>
      <c r="J347" s="88">
        <f>자재단가!R27</f>
        <v>1229</v>
      </c>
      <c r="K347" s="88"/>
      <c r="L347" s="88"/>
      <c r="M347" s="88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4">
        <f>AA347+AB347+AC347</f>
        <v>47070.7</v>
      </c>
      <c r="AA347" s="58"/>
      <c r="AB347" s="58">
        <f>TRUNC(D347*J347,1)</f>
        <v>47070.7</v>
      </c>
      <c r="AC347" s="58"/>
      <c r="AD347" s="22" t="s">
        <v>962</v>
      </c>
    </row>
    <row r="348" spans="2:30" ht="19.7" customHeight="1" x14ac:dyDescent="0.2">
      <c r="B348" s="57" t="s">
        <v>85</v>
      </c>
      <c r="C348" s="19" t="s">
        <v>557</v>
      </c>
      <c r="D348" s="90">
        <v>24</v>
      </c>
      <c r="E348" s="88"/>
      <c r="F348" s="88"/>
      <c r="G348" s="88"/>
      <c r="H348" s="53" t="s">
        <v>210</v>
      </c>
      <c r="I348" s="53" t="s">
        <v>812</v>
      </c>
      <c r="J348" s="88">
        <f>AB347</f>
        <v>47070.7</v>
      </c>
      <c r="K348" s="88"/>
      <c r="L348" s="88"/>
      <c r="M348" s="88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4">
        <f>AA348+AB348+AC348</f>
        <v>11296.9</v>
      </c>
      <c r="AA348" s="58"/>
      <c r="AB348" s="58">
        <f>TRUNC(D348/100*J348,1)</f>
        <v>11296.9</v>
      </c>
      <c r="AC348" s="58"/>
      <c r="AD348" s="22" t="s">
        <v>962</v>
      </c>
    </row>
    <row r="349" spans="2:30" ht="19.7" customHeight="1" x14ac:dyDescent="0.2">
      <c r="B349" s="57" t="s">
        <v>493</v>
      </c>
      <c r="C349" s="19" t="s">
        <v>962</v>
      </c>
      <c r="D349" s="92">
        <v>1</v>
      </c>
      <c r="E349" s="88"/>
      <c r="F349" s="88"/>
      <c r="G349" s="53" t="s">
        <v>889</v>
      </c>
      <c r="H349" s="53" t="s">
        <v>812</v>
      </c>
      <c r="I349" s="88">
        <f>노임단가!F25</f>
        <v>161142</v>
      </c>
      <c r="J349" s="88"/>
      <c r="K349" s="88"/>
      <c r="L349" s="88"/>
      <c r="M349" s="53" t="s">
        <v>812</v>
      </c>
      <c r="N349" s="88" t="s">
        <v>683</v>
      </c>
      <c r="O349" s="88"/>
      <c r="P349" s="88"/>
      <c r="Q349" s="88"/>
      <c r="R349" s="88"/>
      <c r="S349" s="88"/>
      <c r="T349" s="88"/>
      <c r="U349" s="88"/>
      <c r="V349" s="88"/>
      <c r="W349" s="53"/>
      <c r="X349" s="53"/>
      <c r="Y349" s="53"/>
      <c r="Z349" s="54">
        <f>AA349+AB349+AC349</f>
        <v>33571.199999999997</v>
      </c>
      <c r="AA349" s="58">
        <f>TRUNC(D349*I349*기계경비적용기준!E21,1)</f>
        <v>33571.199999999997</v>
      </c>
      <c r="AB349" s="58"/>
      <c r="AC349" s="58"/>
      <c r="AD349" s="22" t="s">
        <v>962</v>
      </c>
    </row>
    <row r="350" spans="2:30" ht="19.7" customHeight="1" x14ac:dyDescent="0.2">
      <c r="B350" s="57" t="s">
        <v>962</v>
      </c>
      <c r="C350" s="19" t="s">
        <v>962</v>
      </c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27"/>
      <c r="AA350" s="21"/>
      <c r="AB350" s="21"/>
      <c r="AC350" s="21"/>
      <c r="AD350" s="22" t="s">
        <v>962</v>
      </c>
    </row>
    <row r="351" spans="2:30" ht="19.7" customHeight="1" x14ac:dyDescent="0.2">
      <c r="B351" s="51" t="s">
        <v>704</v>
      </c>
      <c r="C351" s="52" t="s">
        <v>584</v>
      </c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4">
        <f>AA351+AB351+AC351</f>
        <v>159439</v>
      </c>
      <c r="AA351" s="55">
        <f>TRUNC(AA352+AA353+AA354+AA355)</f>
        <v>33571</v>
      </c>
      <c r="AB351" s="55">
        <f>TRUNC(AB352+AB353+AB354+AB355)</f>
        <v>105000</v>
      </c>
      <c r="AC351" s="55">
        <f>TRUNC(AC352+AC353+AC354+AC355)</f>
        <v>20868</v>
      </c>
      <c r="AD351" s="56"/>
    </row>
    <row r="352" spans="2:30" ht="19.7" customHeight="1" x14ac:dyDescent="0.2">
      <c r="B352" s="57" t="s">
        <v>20</v>
      </c>
      <c r="C352" s="19" t="s">
        <v>584</v>
      </c>
      <c r="D352" s="88">
        <v>88349000</v>
      </c>
      <c r="E352" s="88"/>
      <c r="F352" s="88"/>
      <c r="G352" s="88"/>
      <c r="H352" s="88"/>
      <c r="I352" s="88" t="s">
        <v>195</v>
      </c>
      <c r="J352" s="88"/>
      <c r="K352" s="88">
        <v>2362</v>
      </c>
      <c r="L352" s="88"/>
      <c r="M352" s="88"/>
      <c r="N352" s="53" t="s">
        <v>812</v>
      </c>
      <c r="O352" s="88" t="s">
        <v>863</v>
      </c>
      <c r="P352" s="88"/>
      <c r="Q352" s="88"/>
      <c r="R352" s="53"/>
      <c r="S352" s="53"/>
      <c r="T352" s="53"/>
      <c r="U352" s="53"/>
      <c r="V352" s="53"/>
      <c r="W352" s="53"/>
      <c r="X352" s="53"/>
      <c r="Y352" s="53"/>
      <c r="Z352" s="54">
        <f>AA352+AB352+AC352</f>
        <v>20868</v>
      </c>
      <c r="AA352" s="58"/>
      <c r="AB352" s="58"/>
      <c r="AC352" s="58">
        <f>TRUNC(D352*K352*0.0000001,1)</f>
        <v>20868</v>
      </c>
      <c r="AD352" s="22" t="s">
        <v>936</v>
      </c>
    </row>
    <row r="353" spans="2:30" ht="19.7" customHeight="1" x14ac:dyDescent="0.2">
      <c r="B353" s="57" t="s">
        <v>160</v>
      </c>
      <c r="C353" s="19" t="s">
        <v>962</v>
      </c>
      <c r="D353" s="90">
        <v>68.900000000000006</v>
      </c>
      <c r="E353" s="88"/>
      <c r="F353" s="88"/>
      <c r="G353" s="88"/>
      <c r="H353" s="53" t="s">
        <v>769</v>
      </c>
      <c r="I353" s="53" t="s">
        <v>812</v>
      </c>
      <c r="J353" s="88">
        <f>자재단가!R27</f>
        <v>1229</v>
      </c>
      <c r="K353" s="88"/>
      <c r="L353" s="88"/>
      <c r="M353" s="88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4">
        <f>AA353+AB353+AC353</f>
        <v>84678.1</v>
      </c>
      <c r="AA353" s="58"/>
      <c r="AB353" s="58">
        <f>TRUNC(D353*J353,1)</f>
        <v>84678.1</v>
      </c>
      <c r="AC353" s="58"/>
      <c r="AD353" s="22" t="s">
        <v>962</v>
      </c>
    </row>
    <row r="354" spans="2:30" ht="19.7" customHeight="1" x14ac:dyDescent="0.2">
      <c r="B354" s="57" t="s">
        <v>85</v>
      </c>
      <c r="C354" s="19" t="s">
        <v>557</v>
      </c>
      <c r="D354" s="90">
        <v>24</v>
      </c>
      <c r="E354" s="88"/>
      <c r="F354" s="88"/>
      <c r="G354" s="88"/>
      <c r="H354" s="53" t="s">
        <v>210</v>
      </c>
      <c r="I354" s="53" t="s">
        <v>812</v>
      </c>
      <c r="J354" s="88">
        <f>AB353</f>
        <v>84678.1</v>
      </c>
      <c r="K354" s="88"/>
      <c r="L354" s="88"/>
      <c r="M354" s="88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4">
        <f>AA354+AB354+AC354</f>
        <v>20322.7</v>
      </c>
      <c r="AA354" s="58"/>
      <c r="AB354" s="58">
        <f>TRUNC(D354/100*J354,1)</f>
        <v>20322.7</v>
      </c>
      <c r="AC354" s="58"/>
      <c r="AD354" s="22" t="s">
        <v>962</v>
      </c>
    </row>
    <row r="355" spans="2:30" ht="19.7" customHeight="1" x14ac:dyDescent="0.2">
      <c r="B355" s="57" t="s">
        <v>493</v>
      </c>
      <c r="C355" s="19" t="s">
        <v>962</v>
      </c>
      <c r="D355" s="92">
        <v>1</v>
      </c>
      <c r="E355" s="88"/>
      <c r="F355" s="88"/>
      <c r="G355" s="53" t="s">
        <v>889</v>
      </c>
      <c r="H355" s="53" t="s">
        <v>812</v>
      </c>
      <c r="I355" s="88">
        <f>노임단가!F25</f>
        <v>161142</v>
      </c>
      <c r="J355" s="88"/>
      <c r="K355" s="88"/>
      <c r="L355" s="88"/>
      <c r="M355" s="53" t="s">
        <v>812</v>
      </c>
      <c r="N355" s="88" t="s">
        <v>683</v>
      </c>
      <c r="O355" s="88"/>
      <c r="P355" s="88"/>
      <c r="Q355" s="88"/>
      <c r="R355" s="88"/>
      <c r="S355" s="88"/>
      <c r="T355" s="88"/>
      <c r="U355" s="88"/>
      <c r="V355" s="88"/>
      <c r="W355" s="53"/>
      <c r="X355" s="53"/>
      <c r="Y355" s="53"/>
      <c r="Z355" s="54">
        <f>AA355+AB355+AC355</f>
        <v>33571.199999999997</v>
      </c>
      <c r="AA355" s="58">
        <f>TRUNC(D355*I355*기계경비적용기준!E21,1)</f>
        <v>33571.199999999997</v>
      </c>
      <c r="AB355" s="58"/>
      <c r="AC355" s="58"/>
      <c r="AD355" s="22" t="s">
        <v>962</v>
      </c>
    </row>
    <row r="356" spans="2:30" ht="19.7" customHeight="1" x14ac:dyDescent="0.2">
      <c r="B356" s="57" t="s">
        <v>962</v>
      </c>
      <c r="C356" s="19" t="s">
        <v>962</v>
      </c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27"/>
      <c r="AA356" s="21"/>
      <c r="AB356" s="21"/>
      <c r="AC356" s="21"/>
      <c r="AD356" s="22" t="s">
        <v>962</v>
      </c>
    </row>
    <row r="357" spans="2:30" ht="19.7" customHeight="1" x14ac:dyDescent="0.2">
      <c r="B357" s="51" t="s">
        <v>361</v>
      </c>
      <c r="C357" s="52" t="s">
        <v>344</v>
      </c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4">
        <f>AA357+AB357+AC357</f>
        <v>113</v>
      </c>
      <c r="AA357" s="55">
        <f>TRUNC(AA358)</f>
        <v>0</v>
      </c>
      <c r="AB357" s="55">
        <f>TRUNC(AB358)</f>
        <v>0</v>
      </c>
      <c r="AC357" s="55">
        <f>TRUNC(AC358)</f>
        <v>113</v>
      </c>
      <c r="AD357" s="56"/>
    </row>
    <row r="358" spans="2:30" ht="19.7" customHeight="1" x14ac:dyDescent="0.2">
      <c r="B358" s="57" t="s">
        <v>452</v>
      </c>
      <c r="C358" s="19" t="s">
        <v>344</v>
      </c>
      <c r="D358" s="88">
        <v>480000</v>
      </c>
      <c r="E358" s="88"/>
      <c r="F358" s="88"/>
      <c r="G358" s="88"/>
      <c r="H358" s="88"/>
      <c r="I358" s="88" t="s">
        <v>195</v>
      </c>
      <c r="J358" s="88"/>
      <c r="K358" s="88">
        <v>2362</v>
      </c>
      <c r="L358" s="88"/>
      <c r="M358" s="88"/>
      <c r="N358" s="53" t="s">
        <v>812</v>
      </c>
      <c r="O358" s="88" t="s">
        <v>863</v>
      </c>
      <c r="P358" s="88"/>
      <c r="Q358" s="88"/>
      <c r="R358" s="53"/>
      <c r="S358" s="53"/>
      <c r="T358" s="53"/>
      <c r="U358" s="53"/>
      <c r="V358" s="53"/>
      <c r="W358" s="53"/>
      <c r="X358" s="53"/>
      <c r="Y358" s="53"/>
      <c r="Z358" s="54">
        <f>AA358+AB358+AC358</f>
        <v>113.3</v>
      </c>
      <c r="AA358" s="58"/>
      <c r="AB358" s="58"/>
      <c r="AC358" s="58">
        <f>TRUNC(D358*K358*0.0000001,1)</f>
        <v>113.3</v>
      </c>
      <c r="AD358" s="22" t="s">
        <v>936</v>
      </c>
    </row>
    <row r="359" spans="2:30" ht="19.7" customHeight="1" x14ac:dyDescent="0.2">
      <c r="B359" s="57" t="s">
        <v>962</v>
      </c>
      <c r="C359" s="19" t="s">
        <v>962</v>
      </c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27"/>
      <c r="AA359" s="21"/>
      <c r="AB359" s="21"/>
      <c r="AC359" s="21"/>
      <c r="AD359" s="22" t="s">
        <v>962</v>
      </c>
    </row>
    <row r="360" spans="2:30" ht="19.7" customHeight="1" x14ac:dyDescent="0.2">
      <c r="B360" s="51" t="s">
        <v>651</v>
      </c>
      <c r="C360" s="52" t="s">
        <v>893</v>
      </c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4">
        <f>AA360+AB360+AC360</f>
        <v>67</v>
      </c>
      <c r="AA360" s="55">
        <f>TRUNC(AA361)</f>
        <v>0</v>
      </c>
      <c r="AB360" s="55">
        <f>TRUNC(AB361)</f>
        <v>0</v>
      </c>
      <c r="AC360" s="55">
        <f>TRUNC(AC361)</f>
        <v>67</v>
      </c>
      <c r="AD360" s="56"/>
    </row>
    <row r="361" spans="2:30" ht="19.7" customHeight="1" x14ac:dyDescent="0.2">
      <c r="B361" s="57" t="s">
        <v>373</v>
      </c>
      <c r="C361" s="19" t="s">
        <v>893</v>
      </c>
      <c r="D361" s="88">
        <v>246000</v>
      </c>
      <c r="E361" s="88"/>
      <c r="F361" s="88"/>
      <c r="G361" s="88"/>
      <c r="H361" s="88"/>
      <c r="I361" s="88" t="s">
        <v>195</v>
      </c>
      <c r="J361" s="88"/>
      <c r="K361" s="88">
        <v>2754</v>
      </c>
      <c r="L361" s="88"/>
      <c r="M361" s="88"/>
      <c r="N361" s="53" t="s">
        <v>812</v>
      </c>
      <c r="O361" s="88" t="s">
        <v>863</v>
      </c>
      <c r="P361" s="88"/>
      <c r="Q361" s="88"/>
      <c r="R361" s="53"/>
      <c r="S361" s="53"/>
      <c r="T361" s="53"/>
      <c r="U361" s="53"/>
      <c r="V361" s="53"/>
      <c r="W361" s="53"/>
      <c r="X361" s="53"/>
      <c r="Y361" s="53"/>
      <c r="Z361" s="54">
        <f>AA361+AB361+AC361</f>
        <v>67.7</v>
      </c>
      <c r="AA361" s="58"/>
      <c r="AB361" s="58"/>
      <c r="AC361" s="58">
        <f>TRUNC(D361*K361*0.0000001,1)</f>
        <v>67.7</v>
      </c>
      <c r="AD361" s="22" t="s">
        <v>936</v>
      </c>
    </row>
    <row r="362" spans="2:30" ht="19.7" customHeight="1" x14ac:dyDescent="0.2">
      <c r="B362" s="57" t="s">
        <v>962</v>
      </c>
      <c r="C362" s="19" t="s">
        <v>962</v>
      </c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27"/>
      <c r="AA362" s="21"/>
      <c r="AB362" s="21"/>
      <c r="AC362" s="21"/>
      <c r="AD362" s="22" t="s">
        <v>962</v>
      </c>
    </row>
    <row r="363" spans="2:30" ht="19.7" customHeight="1" x14ac:dyDescent="0.2">
      <c r="B363" s="51" t="s">
        <v>282</v>
      </c>
      <c r="C363" s="52" t="s">
        <v>810</v>
      </c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4">
        <f>AA363+AB363+AC363</f>
        <v>301</v>
      </c>
      <c r="AA363" s="55">
        <f>TRUNC(AA364)</f>
        <v>0</v>
      </c>
      <c r="AB363" s="55">
        <f>TRUNC(AB364)</f>
        <v>0</v>
      </c>
      <c r="AC363" s="55">
        <f>TRUNC(AC364)</f>
        <v>301</v>
      </c>
      <c r="AD363" s="56"/>
    </row>
    <row r="364" spans="2:30" ht="19.7" customHeight="1" x14ac:dyDescent="0.2">
      <c r="B364" s="57" t="s">
        <v>373</v>
      </c>
      <c r="C364" s="19" t="s">
        <v>810</v>
      </c>
      <c r="D364" s="88">
        <v>1096000</v>
      </c>
      <c r="E364" s="88"/>
      <c r="F364" s="88"/>
      <c r="G364" s="88"/>
      <c r="H364" s="88"/>
      <c r="I364" s="88" t="s">
        <v>195</v>
      </c>
      <c r="J364" s="88"/>
      <c r="K364" s="88">
        <v>2754</v>
      </c>
      <c r="L364" s="88"/>
      <c r="M364" s="88"/>
      <c r="N364" s="53" t="s">
        <v>812</v>
      </c>
      <c r="O364" s="88" t="s">
        <v>863</v>
      </c>
      <c r="P364" s="88"/>
      <c r="Q364" s="88"/>
      <c r="R364" s="53"/>
      <c r="S364" s="53"/>
      <c r="T364" s="53"/>
      <c r="U364" s="53"/>
      <c r="V364" s="53"/>
      <c r="W364" s="53"/>
      <c r="X364" s="53"/>
      <c r="Y364" s="53"/>
      <c r="Z364" s="54">
        <f>AA364+AB364+AC364</f>
        <v>301.8</v>
      </c>
      <c r="AA364" s="58"/>
      <c r="AB364" s="58"/>
      <c r="AC364" s="58">
        <f>TRUNC(D364*K364*0.0000001,1)</f>
        <v>301.8</v>
      </c>
      <c r="AD364" s="22" t="s">
        <v>936</v>
      </c>
    </row>
    <row r="365" spans="2:30" ht="19.7" customHeight="1" x14ac:dyDescent="0.2">
      <c r="B365" s="57" t="s">
        <v>962</v>
      </c>
      <c r="C365" s="19" t="s">
        <v>962</v>
      </c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27"/>
      <c r="AA365" s="21"/>
      <c r="AB365" s="21"/>
      <c r="AC365" s="21"/>
      <c r="AD365" s="22" t="s">
        <v>962</v>
      </c>
    </row>
    <row r="366" spans="2:30" ht="19.7" customHeight="1" x14ac:dyDescent="0.2">
      <c r="B366" s="51" t="s">
        <v>138</v>
      </c>
      <c r="C366" s="52" t="s">
        <v>57</v>
      </c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4">
        <f>AA366+AB366+AC366</f>
        <v>1545</v>
      </c>
      <c r="AA366" s="55">
        <f>TRUNC(AA367+AA368+AA369)</f>
        <v>0</v>
      </c>
      <c r="AB366" s="55">
        <f>TRUNC(AB367+AB368+AB369)</f>
        <v>1425</v>
      </c>
      <c r="AC366" s="55">
        <f>TRUNC(AC367+AC368+AC369)</f>
        <v>120</v>
      </c>
      <c r="AD366" s="56"/>
    </row>
    <row r="367" spans="2:30" ht="19.7" customHeight="1" x14ac:dyDescent="0.2">
      <c r="B367" s="57" t="s">
        <v>876</v>
      </c>
      <c r="C367" s="19" t="s">
        <v>57</v>
      </c>
      <c r="D367" s="88">
        <v>431000</v>
      </c>
      <c r="E367" s="88"/>
      <c r="F367" s="88"/>
      <c r="G367" s="88"/>
      <c r="H367" s="88"/>
      <c r="I367" s="88" t="s">
        <v>195</v>
      </c>
      <c r="J367" s="88"/>
      <c r="K367" s="88">
        <v>2799</v>
      </c>
      <c r="L367" s="88"/>
      <c r="M367" s="88"/>
      <c r="N367" s="53" t="s">
        <v>812</v>
      </c>
      <c r="O367" s="88" t="s">
        <v>863</v>
      </c>
      <c r="P367" s="88"/>
      <c r="Q367" s="88"/>
      <c r="R367" s="53"/>
      <c r="S367" s="53"/>
      <c r="T367" s="53"/>
      <c r="U367" s="53"/>
      <c r="V367" s="53"/>
      <c r="W367" s="53"/>
      <c r="X367" s="53"/>
      <c r="Y367" s="53"/>
      <c r="Z367" s="54">
        <f>AA367+AB367+AC367</f>
        <v>120.6</v>
      </c>
      <c r="AA367" s="58"/>
      <c r="AB367" s="58"/>
      <c r="AC367" s="58">
        <f>TRUNC(D367*K367*0.0000001,1)</f>
        <v>120.6</v>
      </c>
      <c r="AD367" s="22" t="s">
        <v>936</v>
      </c>
    </row>
    <row r="368" spans="2:30" ht="19.7" customHeight="1" x14ac:dyDescent="0.2">
      <c r="B368" s="59" t="s">
        <v>160</v>
      </c>
      <c r="C368" s="24" t="s">
        <v>962</v>
      </c>
      <c r="D368" s="91">
        <v>1</v>
      </c>
      <c r="E368" s="89"/>
      <c r="F368" s="89"/>
      <c r="G368" s="89"/>
      <c r="H368" s="9" t="s">
        <v>769</v>
      </c>
      <c r="I368" s="9" t="s">
        <v>812</v>
      </c>
      <c r="J368" s="89">
        <f>자재단가!R27</f>
        <v>1229</v>
      </c>
      <c r="K368" s="89"/>
      <c r="L368" s="89"/>
      <c r="M368" s="8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60">
        <f>AA368+AB368+AC368</f>
        <v>1229</v>
      </c>
      <c r="AA368" s="61"/>
      <c r="AB368" s="61">
        <f>TRUNC(D368*J368,1)</f>
        <v>1229</v>
      </c>
      <c r="AC368" s="61"/>
      <c r="AD368" s="26" t="s">
        <v>962</v>
      </c>
    </row>
    <row r="369" spans="2:30" ht="19.7" customHeight="1" x14ac:dyDescent="0.2">
      <c r="B369" s="57" t="s">
        <v>85</v>
      </c>
      <c r="C369" s="19" t="s">
        <v>557</v>
      </c>
      <c r="D369" s="90">
        <v>16</v>
      </c>
      <c r="E369" s="88"/>
      <c r="F369" s="88"/>
      <c r="G369" s="88"/>
      <c r="H369" s="53" t="s">
        <v>210</v>
      </c>
      <c r="I369" s="53" t="s">
        <v>812</v>
      </c>
      <c r="J369" s="88">
        <f>AB368</f>
        <v>1229</v>
      </c>
      <c r="K369" s="88"/>
      <c r="L369" s="88"/>
      <c r="M369" s="88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4">
        <f>AA369+AB369+AC369</f>
        <v>196.6</v>
      </c>
      <c r="AA369" s="58"/>
      <c r="AB369" s="58">
        <f>TRUNC(D369/100*J369,1)</f>
        <v>196.6</v>
      </c>
      <c r="AC369" s="58"/>
      <c r="AD369" s="22" t="s">
        <v>962</v>
      </c>
    </row>
    <row r="370" spans="2:30" ht="19.7" customHeight="1" x14ac:dyDescent="0.2">
      <c r="B370" s="57" t="s">
        <v>962</v>
      </c>
      <c r="C370" s="19" t="s">
        <v>962</v>
      </c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27"/>
      <c r="AA370" s="21"/>
      <c r="AB370" s="21"/>
      <c r="AC370" s="21"/>
      <c r="AD370" s="22" t="s">
        <v>962</v>
      </c>
    </row>
    <row r="371" spans="2:30" ht="19.7" customHeight="1" x14ac:dyDescent="0.2">
      <c r="B371" s="51" t="s">
        <v>107</v>
      </c>
      <c r="C371" s="52" t="s">
        <v>869</v>
      </c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4">
        <f>AA371+AB371+AC371</f>
        <v>2596</v>
      </c>
      <c r="AA371" s="55">
        <f>TRUNC(AA372+AA373+AA374)</f>
        <v>0</v>
      </c>
      <c r="AB371" s="55">
        <f>TRUNC(AB372+AB373+AB374)</f>
        <v>2281</v>
      </c>
      <c r="AC371" s="55">
        <f>TRUNC(AC372+AC373+AC374)</f>
        <v>315</v>
      </c>
      <c r="AD371" s="56"/>
    </row>
    <row r="372" spans="2:30" ht="19.7" customHeight="1" x14ac:dyDescent="0.2">
      <c r="B372" s="57" t="s">
        <v>876</v>
      </c>
      <c r="C372" s="19" t="s">
        <v>869</v>
      </c>
      <c r="D372" s="88">
        <v>1126000</v>
      </c>
      <c r="E372" s="88"/>
      <c r="F372" s="88"/>
      <c r="G372" s="88"/>
      <c r="H372" s="88"/>
      <c r="I372" s="88" t="s">
        <v>195</v>
      </c>
      <c r="J372" s="88"/>
      <c r="K372" s="88">
        <v>2799</v>
      </c>
      <c r="L372" s="88"/>
      <c r="M372" s="88"/>
      <c r="N372" s="53" t="s">
        <v>812</v>
      </c>
      <c r="O372" s="88" t="s">
        <v>863</v>
      </c>
      <c r="P372" s="88"/>
      <c r="Q372" s="88"/>
      <c r="R372" s="53"/>
      <c r="S372" s="53"/>
      <c r="T372" s="53"/>
      <c r="U372" s="53"/>
      <c r="V372" s="53"/>
      <c r="W372" s="53"/>
      <c r="X372" s="53"/>
      <c r="Y372" s="53"/>
      <c r="Z372" s="54">
        <f>AA372+AB372+AC372</f>
        <v>315.10000000000002</v>
      </c>
      <c r="AA372" s="58"/>
      <c r="AB372" s="58"/>
      <c r="AC372" s="58">
        <f>TRUNC(D372*K372*0.0000001,1)</f>
        <v>315.10000000000002</v>
      </c>
      <c r="AD372" s="22" t="s">
        <v>936</v>
      </c>
    </row>
    <row r="373" spans="2:30" ht="19.7" customHeight="1" x14ac:dyDescent="0.2">
      <c r="B373" s="57" t="s">
        <v>160</v>
      </c>
      <c r="C373" s="19" t="s">
        <v>962</v>
      </c>
      <c r="D373" s="90">
        <v>1.6</v>
      </c>
      <c r="E373" s="88"/>
      <c r="F373" s="88"/>
      <c r="G373" s="88"/>
      <c r="H373" s="53" t="s">
        <v>769</v>
      </c>
      <c r="I373" s="53" t="s">
        <v>812</v>
      </c>
      <c r="J373" s="88">
        <f>자재단가!R27</f>
        <v>1229</v>
      </c>
      <c r="K373" s="88"/>
      <c r="L373" s="88"/>
      <c r="M373" s="88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4">
        <f>AA373+AB373+AC373</f>
        <v>1966.4</v>
      </c>
      <c r="AA373" s="58"/>
      <c r="AB373" s="58">
        <f>TRUNC(D373*J373,1)</f>
        <v>1966.4</v>
      </c>
      <c r="AC373" s="58"/>
      <c r="AD373" s="22" t="s">
        <v>962</v>
      </c>
    </row>
    <row r="374" spans="2:30" ht="19.7" customHeight="1" x14ac:dyDescent="0.2">
      <c r="B374" s="57" t="s">
        <v>85</v>
      </c>
      <c r="C374" s="19" t="s">
        <v>557</v>
      </c>
      <c r="D374" s="90">
        <v>16</v>
      </c>
      <c r="E374" s="88"/>
      <c r="F374" s="88"/>
      <c r="G374" s="88"/>
      <c r="H374" s="53" t="s">
        <v>210</v>
      </c>
      <c r="I374" s="53" t="s">
        <v>812</v>
      </c>
      <c r="J374" s="88">
        <f>AB373</f>
        <v>1966.4</v>
      </c>
      <c r="K374" s="88"/>
      <c r="L374" s="88"/>
      <c r="M374" s="88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4">
        <f>AA374+AB374+AC374</f>
        <v>314.60000000000002</v>
      </c>
      <c r="AA374" s="58"/>
      <c r="AB374" s="58">
        <f>TRUNC(D374/100*J374,1)</f>
        <v>314.60000000000002</v>
      </c>
      <c r="AC374" s="58"/>
      <c r="AD374" s="22" t="s">
        <v>962</v>
      </c>
    </row>
    <row r="375" spans="2:30" ht="19.7" customHeight="1" x14ac:dyDescent="0.2">
      <c r="B375" s="57" t="s">
        <v>962</v>
      </c>
      <c r="C375" s="19" t="s">
        <v>962</v>
      </c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27"/>
      <c r="AA375" s="21"/>
      <c r="AB375" s="21"/>
      <c r="AC375" s="21"/>
      <c r="AD375" s="22" t="s">
        <v>962</v>
      </c>
    </row>
    <row r="376" spans="2:30" ht="19.7" customHeight="1" x14ac:dyDescent="0.2">
      <c r="B376" s="51" t="s">
        <v>7</v>
      </c>
      <c r="C376" s="52" t="s">
        <v>766</v>
      </c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4">
        <f>AA376+AB376+AC376</f>
        <v>24</v>
      </c>
      <c r="AA376" s="55">
        <f>TRUNC(AA377)</f>
        <v>0</v>
      </c>
      <c r="AB376" s="55">
        <f>TRUNC(AB377)</f>
        <v>0</v>
      </c>
      <c r="AC376" s="55">
        <f>TRUNC(AC377)</f>
        <v>24</v>
      </c>
      <c r="AD376" s="56"/>
    </row>
    <row r="377" spans="2:30" ht="19.7" customHeight="1" x14ac:dyDescent="0.2">
      <c r="B377" s="57" t="s">
        <v>583</v>
      </c>
      <c r="C377" s="19" t="s">
        <v>766</v>
      </c>
      <c r="D377" s="88">
        <v>159000</v>
      </c>
      <c r="E377" s="88"/>
      <c r="F377" s="88"/>
      <c r="G377" s="88"/>
      <c r="H377" s="88"/>
      <c r="I377" s="88" t="s">
        <v>195</v>
      </c>
      <c r="J377" s="88"/>
      <c r="K377" s="88">
        <v>1549</v>
      </c>
      <c r="L377" s="88"/>
      <c r="M377" s="88"/>
      <c r="N377" s="53" t="s">
        <v>812</v>
      </c>
      <c r="O377" s="88" t="s">
        <v>863</v>
      </c>
      <c r="P377" s="88"/>
      <c r="Q377" s="88"/>
      <c r="R377" s="53"/>
      <c r="S377" s="53"/>
      <c r="T377" s="53"/>
      <c r="U377" s="53"/>
      <c r="V377" s="53"/>
      <c r="W377" s="53"/>
      <c r="X377" s="53"/>
      <c r="Y377" s="53"/>
      <c r="Z377" s="54">
        <f>AA377+AB377+AC377</f>
        <v>24.6</v>
      </c>
      <c r="AA377" s="58"/>
      <c r="AB377" s="58"/>
      <c r="AC377" s="58">
        <f>TRUNC(D377*K377*0.0000001,1)</f>
        <v>24.6</v>
      </c>
      <c r="AD377" s="22" t="s">
        <v>936</v>
      </c>
    </row>
    <row r="378" spans="2:30" ht="19.7" customHeight="1" x14ac:dyDescent="0.2">
      <c r="B378" s="57" t="s">
        <v>962</v>
      </c>
      <c r="C378" s="19" t="s">
        <v>962</v>
      </c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27"/>
      <c r="AA378" s="21"/>
      <c r="AB378" s="21"/>
      <c r="AC378" s="21"/>
      <c r="AD378" s="22" t="s">
        <v>962</v>
      </c>
    </row>
    <row r="379" spans="2:30" ht="19.7" customHeight="1" x14ac:dyDescent="0.2">
      <c r="B379" s="51" t="s">
        <v>471</v>
      </c>
      <c r="C379" s="52" t="s">
        <v>798</v>
      </c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4">
        <f>AA379+AB379+AC379</f>
        <v>45</v>
      </c>
      <c r="AA379" s="55">
        <f>TRUNC(AA380)</f>
        <v>0</v>
      </c>
      <c r="AB379" s="55">
        <f>TRUNC(AB380)</f>
        <v>0</v>
      </c>
      <c r="AC379" s="55">
        <f>TRUNC(AC380)</f>
        <v>45</v>
      </c>
      <c r="AD379" s="56"/>
    </row>
    <row r="380" spans="2:30" ht="19.7" customHeight="1" x14ac:dyDescent="0.2">
      <c r="B380" s="57" t="s">
        <v>441</v>
      </c>
      <c r="C380" s="19" t="s">
        <v>798</v>
      </c>
      <c r="D380" s="88">
        <v>80000</v>
      </c>
      <c r="E380" s="88"/>
      <c r="F380" s="88"/>
      <c r="G380" s="88"/>
      <c r="H380" s="88"/>
      <c r="I380" s="88" t="s">
        <v>195</v>
      </c>
      <c r="J380" s="88"/>
      <c r="K380" s="88">
        <v>5625</v>
      </c>
      <c r="L380" s="88"/>
      <c r="M380" s="88"/>
      <c r="N380" s="53" t="s">
        <v>812</v>
      </c>
      <c r="O380" s="88" t="s">
        <v>863</v>
      </c>
      <c r="P380" s="88"/>
      <c r="Q380" s="88"/>
      <c r="R380" s="53"/>
      <c r="S380" s="53"/>
      <c r="T380" s="53"/>
      <c r="U380" s="53"/>
      <c r="V380" s="53"/>
      <c r="W380" s="53"/>
      <c r="X380" s="53"/>
      <c r="Y380" s="53"/>
      <c r="Z380" s="54">
        <f>AA380+AB380+AC380</f>
        <v>45</v>
      </c>
      <c r="AA380" s="58"/>
      <c r="AB380" s="58"/>
      <c r="AC380" s="58">
        <f>TRUNC(D380*K380*0.0000001,1)</f>
        <v>45</v>
      </c>
      <c r="AD380" s="22" t="s">
        <v>962</v>
      </c>
    </row>
    <row r="381" spans="2:30" ht="19.7" customHeight="1" x14ac:dyDescent="0.2">
      <c r="B381" s="57" t="s">
        <v>962</v>
      </c>
      <c r="C381" s="19" t="s">
        <v>962</v>
      </c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27"/>
      <c r="AA381" s="21"/>
      <c r="AB381" s="21"/>
      <c r="AC381" s="21"/>
      <c r="AD381" s="22" t="s">
        <v>962</v>
      </c>
    </row>
    <row r="382" spans="2:30" ht="19.7" customHeight="1" x14ac:dyDescent="0.2">
      <c r="B382" s="51" t="s">
        <v>786</v>
      </c>
      <c r="C382" s="52" t="s">
        <v>45</v>
      </c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4">
        <f>AA382+AB382+AC382</f>
        <v>928</v>
      </c>
      <c r="AA382" s="55">
        <f>TRUNC(AA383)</f>
        <v>0</v>
      </c>
      <c r="AB382" s="55">
        <f>TRUNC(AB383)</f>
        <v>0</v>
      </c>
      <c r="AC382" s="55">
        <f>TRUNC(AC383)</f>
        <v>928</v>
      </c>
      <c r="AD382" s="56"/>
    </row>
    <row r="383" spans="2:30" ht="19.7" customHeight="1" x14ac:dyDescent="0.2">
      <c r="B383" s="57" t="s">
        <v>186</v>
      </c>
      <c r="C383" s="19" t="s">
        <v>45</v>
      </c>
      <c r="D383" s="88">
        <v>1785000</v>
      </c>
      <c r="E383" s="88"/>
      <c r="F383" s="88"/>
      <c r="G383" s="88"/>
      <c r="H383" s="88"/>
      <c r="I383" s="88" t="s">
        <v>195</v>
      </c>
      <c r="J383" s="88"/>
      <c r="K383" s="88">
        <v>5200</v>
      </c>
      <c r="L383" s="88"/>
      <c r="M383" s="88"/>
      <c r="N383" s="53" t="s">
        <v>812</v>
      </c>
      <c r="O383" s="88" t="s">
        <v>863</v>
      </c>
      <c r="P383" s="88"/>
      <c r="Q383" s="88"/>
      <c r="R383" s="53"/>
      <c r="S383" s="53"/>
      <c r="T383" s="53"/>
      <c r="U383" s="53"/>
      <c r="V383" s="53"/>
      <c r="W383" s="53"/>
      <c r="X383" s="53"/>
      <c r="Y383" s="53"/>
      <c r="Z383" s="54">
        <f>AA383+AB383+AC383</f>
        <v>928.2</v>
      </c>
      <c r="AA383" s="58"/>
      <c r="AB383" s="58"/>
      <c r="AC383" s="58">
        <f>TRUNC(D383*K383*0.0000001,1)</f>
        <v>928.2</v>
      </c>
      <c r="AD383" s="22" t="s">
        <v>962</v>
      </c>
    </row>
    <row r="384" spans="2:30" ht="19.7" customHeight="1" x14ac:dyDescent="0.2">
      <c r="B384" s="57" t="s">
        <v>962</v>
      </c>
      <c r="C384" s="19" t="s">
        <v>962</v>
      </c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27"/>
      <c r="AA384" s="21"/>
      <c r="AB384" s="21"/>
      <c r="AC384" s="21"/>
      <c r="AD384" s="22" t="s">
        <v>962</v>
      </c>
    </row>
    <row r="385" spans="2:30" ht="19.7" customHeight="1" x14ac:dyDescent="0.2">
      <c r="B385" s="51" t="s">
        <v>251</v>
      </c>
      <c r="C385" s="52" t="s">
        <v>962</v>
      </c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4">
        <f>AA385+AB385+AC385</f>
        <v>643</v>
      </c>
      <c r="AA385" s="55">
        <f>TRUNC(AA386)</f>
        <v>0</v>
      </c>
      <c r="AB385" s="55">
        <f>TRUNC(AB386)</f>
        <v>0</v>
      </c>
      <c r="AC385" s="55">
        <f>TRUNC(AC386)</f>
        <v>643</v>
      </c>
      <c r="AD385" s="56"/>
    </row>
    <row r="386" spans="2:30" ht="19.7" customHeight="1" x14ac:dyDescent="0.2">
      <c r="B386" s="57" t="s">
        <v>652</v>
      </c>
      <c r="C386" s="19" t="s">
        <v>962</v>
      </c>
      <c r="D386" s="88">
        <v>1500000</v>
      </c>
      <c r="E386" s="88"/>
      <c r="F386" s="88"/>
      <c r="G386" s="88"/>
      <c r="H386" s="88"/>
      <c r="I386" s="88" t="s">
        <v>195</v>
      </c>
      <c r="J386" s="88"/>
      <c r="K386" s="88">
        <v>4288</v>
      </c>
      <c r="L386" s="88"/>
      <c r="M386" s="88"/>
      <c r="N386" s="53" t="s">
        <v>812</v>
      </c>
      <c r="O386" s="88" t="s">
        <v>863</v>
      </c>
      <c r="P386" s="88"/>
      <c r="Q386" s="88"/>
      <c r="R386" s="53"/>
      <c r="S386" s="53"/>
      <c r="T386" s="53"/>
      <c r="U386" s="53"/>
      <c r="V386" s="53"/>
      <c r="W386" s="53"/>
      <c r="X386" s="53"/>
      <c r="Y386" s="53"/>
      <c r="Z386" s="54">
        <f>AA386+AB386+AC386</f>
        <v>643.20000000000005</v>
      </c>
      <c r="AA386" s="58"/>
      <c r="AB386" s="58"/>
      <c r="AC386" s="58">
        <f>TRUNC(D386*K386*0.0000001,1)</f>
        <v>643.20000000000005</v>
      </c>
      <c r="AD386" s="22" t="s">
        <v>962</v>
      </c>
    </row>
    <row r="387" spans="2:30" ht="19.7" customHeight="1" x14ac:dyDescent="0.2">
      <c r="B387" s="57" t="s">
        <v>962</v>
      </c>
      <c r="C387" s="19" t="s">
        <v>962</v>
      </c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27"/>
      <c r="AA387" s="21"/>
      <c r="AB387" s="21"/>
      <c r="AC387" s="21"/>
      <c r="AD387" s="22" t="s">
        <v>962</v>
      </c>
    </row>
    <row r="388" spans="2:30" ht="19.7" customHeight="1" x14ac:dyDescent="0.2">
      <c r="B388" s="51" t="s">
        <v>488</v>
      </c>
      <c r="C388" s="52" t="s">
        <v>774</v>
      </c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4">
        <f>AA388+AB388+AC388</f>
        <v>56</v>
      </c>
      <c r="AA388" s="55">
        <f>TRUNC(AA389)</f>
        <v>0</v>
      </c>
      <c r="AB388" s="55">
        <f>TRUNC(AB389)</f>
        <v>0</v>
      </c>
      <c r="AC388" s="55">
        <f>TRUNC(AC389)</f>
        <v>56</v>
      </c>
      <c r="AD388" s="56"/>
    </row>
    <row r="389" spans="2:30" ht="19.7" customHeight="1" x14ac:dyDescent="0.2">
      <c r="B389" s="57" t="s">
        <v>2</v>
      </c>
      <c r="C389" s="19" t="s">
        <v>774</v>
      </c>
      <c r="D389" s="88">
        <v>100000</v>
      </c>
      <c r="E389" s="88"/>
      <c r="F389" s="88"/>
      <c r="G389" s="88"/>
      <c r="H389" s="88"/>
      <c r="I389" s="88" t="s">
        <v>195</v>
      </c>
      <c r="J389" s="88"/>
      <c r="K389" s="88">
        <v>5625</v>
      </c>
      <c r="L389" s="88"/>
      <c r="M389" s="88"/>
      <c r="N389" s="53" t="s">
        <v>812</v>
      </c>
      <c r="O389" s="88" t="s">
        <v>863</v>
      </c>
      <c r="P389" s="88"/>
      <c r="Q389" s="88"/>
      <c r="R389" s="53"/>
      <c r="S389" s="53"/>
      <c r="T389" s="53"/>
      <c r="U389" s="53"/>
      <c r="V389" s="53"/>
      <c r="W389" s="53"/>
      <c r="X389" s="53"/>
      <c r="Y389" s="53"/>
      <c r="Z389" s="54">
        <f>AA389+AB389+AC389</f>
        <v>56.2</v>
      </c>
      <c r="AA389" s="58"/>
      <c r="AB389" s="58"/>
      <c r="AC389" s="58">
        <f>TRUNC(D389*K389*0.0000001,1)</f>
        <v>56.2</v>
      </c>
      <c r="AD389" s="22" t="s">
        <v>962</v>
      </c>
    </row>
    <row r="390" spans="2:30" ht="19.7" customHeight="1" x14ac:dyDescent="0.2">
      <c r="B390" s="57" t="s">
        <v>962</v>
      </c>
      <c r="C390" s="19" t="s">
        <v>962</v>
      </c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27"/>
      <c r="AA390" s="21"/>
      <c r="AB390" s="21"/>
      <c r="AC390" s="21"/>
      <c r="AD390" s="22" t="s">
        <v>962</v>
      </c>
    </row>
    <row r="391" spans="2:30" ht="19.7" customHeight="1" x14ac:dyDescent="0.2">
      <c r="B391" s="51" t="s">
        <v>314</v>
      </c>
      <c r="C391" s="52" t="s">
        <v>204</v>
      </c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4">
        <f>AA391+AB391+AC391</f>
        <v>112</v>
      </c>
      <c r="AA391" s="55">
        <f>TRUNC(AA392)</f>
        <v>0</v>
      </c>
      <c r="AB391" s="55">
        <f>TRUNC(AB392)</f>
        <v>0</v>
      </c>
      <c r="AC391" s="55">
        <f>TRUNC(AC392)</f>
        <v>112</v>
      </c>
      <c r="AD391" s="56"/>
    </row>
    <row r="392" spans="2:30" ht="19.7" customHeight="1" x14ac:dyDescent="0.2">
      <c r="B392" s="57" t="s">
        <v>182</v>
      </c>
      <c r="C392" s="19" t="s">
        <v>204</v>
      </c>
      <c r="D392" s="88">
        <v>200000</v>
      </c>
      <c r="E392" s="88"/>
      <c r="F392" s="88"/>
      <c r="G392" s="88"/>
      <c r="H392" s="88"/>
      <c r="I392" s="88" t="s">
        <v>195</v>
      </c>
      <c r="J392" s="88"/>
      <c r="K392" s="88">
        <v>5625</v>
      </c>
      <c r="L392" s="88"/>
      <c r="M392" s="88"/>
      <c r="N392" s="53" t="s">
        <v>812</v>
      </c>
      <c r="O392" s="88" t="s">
        <v>863</v>
      </c>
      <c r="P392" s="88"/>
      <c r="Q392" s="88"/>
      <c r="R392" s="53"/>
      <c r="S392" s="53"/>
      <c r="T392" s="53"/>
      <c r="U392" s="53"/>
      <c r="V392" s="53"/>
      <c r="W392" s="53"/>
      <c r="X392" s="53"/>
      <c r="Y392" s="53"/>
      <c r="Z392" s="54">
        <f>AA392+AB392+AC392</f>
        <v>112.5</v>
      </c>
      <c r="AA392" s="58"/>
      <c r="AB392" s="58"/>
      <c r="AC392" s="58">
        <f>TRUNC(D392*K392*0.0000001,1)</f>
        <v>112.5</v>
      </c>
      <c r="AD392" s="22" t="s">
        <v>962</v>
      </c>
    </row>
    <row r="393" spans="2:30" ht="19.7" customHeight="1" x14ac:dyDescent="0.2">
      <c r="B393" s="57" t="s">
        <v>962</v>
      </c>
      <c r="C393" s="19" t="s">
        <v>962</v>
      </c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27"/>
      <c r="AA393" s="21"/>
      <c r="AB393" s="21"/>
      <c r="AC393" s="21"/>
      <c r="AD393" s="22" t="s">
        <v>962</v>
      </c>
    </row>
    <row r="394" spans="2:30" ht="19.7" customHeight="1" x14ac:dyDescent="0.2">
      <c r="B394" s="51" t="s">
        <v>269</v>
      </c>
      <c r="C394" s="52" t="s">
        <v>962</v>
      </c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4">
        <f>AA394+AB394+AC394</f>
        <v>85</v>
      </c>
      <c r="AA394" s="55">
        <f>TRUNC(AA395)</f>
        <v>0</v>
      </c>
      <c r="AB394" s="55">
        <f>TRUNC(AB395)</f>
        <v>0</v>
      </c>
      <c r="AC394" s="55">
        <f>TRUNC(AC395)</f>
        <v>85</v>
      </c>
      <c r="AD394" s="56"/>
    </row>
    <row r="395" spans="2:30" ht="19.7" customHeight="1" x14ac:dyDescent="0.2">
      <c r="B395" s="57" t="s">
        <v>80</v>
      </c>
      <c r="C395" s="19" t="s">
        <v>962</v>
      </c>
      <c r="D395" s="88">
        <v>200000</v>
      </c>
      <c r="E395" s="88"/>
      <c r="F395" s="88"/>
      <c r="G395" s="88"/>
      <c r="H395" s="88"/>
      <c r="I395" s="88" t="s">
        <v>195</v>
      </c>
      <c r="J395" s="88"/>
      <c r="K395" s="88">
        <v>4288</v>
      </c>
      <c r="L395" s="88"/>
      <c r="M395" s="88"/>
      <c r="N395" s="53" t="s">
        <v>812</v>
      </c>
      <c r="O395" s="88" t="s">
        <v>863</v>
      </c>
      <c r="P395" s="88"/>
      <c r="Q395" s="88"/>
      <c r="R395" s="53"/>
      <c r="S395" s="53"/>
      <c r="T395" s="53"/>
      <c r="U395" s="53"/>
      <c r="V395" s="53"/>
      <c r="W395" s="53"/>
      <c r="X395" s="53"/>
      <c r="Y395" s="53"/>
      <c r="Z395" s="54">
        <f>AA395+AB395+AC395</f>
        <v>85.7</v>
      </c>
      <c r="AA395" s="58"/>
      <c r="AB395" s="58"/>
      <c r="AC395" s="58">
        <f>TRUNC(D395*K395*0.0000001,1)</f>
        <v>85.7</v>
      </c>
      <c r="AD395" s="22" t="s">
        <v>962</v>
      </c>
    </row>
    <row r="396" spans="2:30" ht="19.7" customHeight="1" x14ac:dyDescent="0.2">
      <c r="B396" s="59" t="s">
        <v>962</v>
      </c>
      <c r="C396" s="24" t="s">
        <v>962</v>
      </c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10"/>
      <c r="AA396" s="11"/>
      <c r="AB396" s="11"/>
      <c r="AC396" s="11"/>
      <c r="AD396" s="26" t="s">
        <v>962</v>
      </c>
    </row>
    <row r="397" spans="2:30" ht="19.7" customHeight="1" x14ac:dyDescent="0.2">
      <c r="B397" s="51" t="s">
        <v>496</v>
      </c>
      <c r="C397" s="52" t="s">
        <v>962</v>
      </c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4">
        <f>AA397+AB397+AC397</f>
        <v>1715</v>
      </c>
      <c r="AA397" s="55">
        <f>TRUNC(AA398)</f>
        <v>0</v>
      </c>
      <c r="AB397" s="55">
        <f>TRUNC(AB398)</f>
        <v>0</v>
      </c>
      <c r="AC397" s="55">
        <f>TRUNC(AC398)</f>
        <v>1715</v>
      </c>
      <c r="AD397" s="56"/>
    </row>
    <row r="398" spans="2:30" ht="19.7" customHeight="1" x14ac:dyDescent="0.2">
      <c r="B398" s="57" t="s">
        <v>675</v>
      </c>
      <c r="C398" s="19" t="s">
        <v>962</v>
      </c>
      <c r="D398" s="88">
        <v>4000000</v>
      </c>
      <c r="E398" s="88"/>
      <c r="F398" s="88"/>
      <c r="G398" s="88"/>
      <c r="H398" s="88"/>
      <c r="I398" s="88" t="s">
        <v>195</v>
      </c>
      <c r="J398" s="88"/>
      <c r="K398" s="88">
        <v>4288</v>
      </c>
      <c r="L398" s="88"/>
      <c r="M398" s="88"/>
      <c r="N398" s="53" t="s">
        <v>812</v>
      </c>
      <c r="O398" s="88" t="s">
        <v>863</v>
      </c>
      <c r="P398" s="88"/>
      <c r="Q398" s="88"/>
      <c r="R398" s="53"/>
      <c r="S398" s="53"/>
      <c r="T398" s="53"/>
      <c r="U398" s="53"/>
      <c r="V398" s="53"/>
      <c r="W398" s="53"/>
      <c r="X398" s="53"/>
      <c r="Y398" s="53"/>
      <c r="Z398" s="54">
        <f>AA398+AB398+AC398</f>
        <v>1715.2</v>
      </c>
      <c r="AA398" s="58"/>
      <c r="AB398" s="58"/>
      <c r="AC398" s="58">
        <f>TRUNC(D398*K398*0.0000001,1)</f>
        <v>1715.2</v>
      </c>
      <c r="AD398" s="22" t="s">
        <v>962</v>
      </c>
    </row>
    <row r="399" spans="2:30" ht="19.7" customHeight="1" x14ac:dyDescent="0.2">
      <c r="B399" s="57" t="s">
        <v>962</v>
      </c>
      <c r="C399" s="19" t="s">
        <v>962</v>
      </c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27"/>
      <c r="AA399" s="21"/>
      <c r="AB399" s="21"/>
      <c r="AC399" s="21"/>
      <c r="AD399" s="22" t="s">
        <v>962</v>
      </c>
    </row>
    <row r="400" spans="2:30" ht="19.7" customHeight="1" x14ac:dyDescent="0.2">
      <c r="B400" s="51" t="s">
        <v>842</v>
      </c>
      <c r="C400" s="52" t="s">
        <v>327</v>
      </c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4">
        <f>AA400+AB400+AC400</f>
        <v>5415</v>
      </c>
      <c r="AA400" s="55">
        <f>TRUNC(AA401)</f>
        <v>0</v>
      </c>
      <c r="AB400" s="55">
        <f>TRUNC(AB401)</f>
        <v>0</v>
      </c>
      <c r="AC400" s="55">
        <f>TRUNC(AC401)</f>
        <v>5415</v>
      </c>
      <c r="AD400" s="56"/>
    </row>
    <row r="401" spans="2:30" ht="19.7" customHeight="1" x14ac:dyDescent="0.2">
      <c r="B401" s="57" t="s">
        <v>14</v>
      </c>
      <c r="C401" s="19" t="s">
        <v>327</v>
      </c>
      <c r="D401" s="88">
        <v>15588000</v>
      </c>
      <c r="E401" s="88"/>
      <c r="F401" s="88"/>
      <c r="G401" s="88"/>
      <c r="H401" s="88"/>
      <c r="I401" s="88" t="s">
        <v>195</v>
      </c>
      <c r="J401" s="88"/>
      <c r="K401" s="88">
        <v>3474</v>
      </c>
      <c r="L401" s="88"/>
      <c r="M401" s="88"/>
      <c r="N401" s="53" t="s">
        <v>812</v>
      </c>
      <c r="O401" s="88" t="s">
        <v>863</v>
      </c>
      <c r="P401" s="88"/>
      <c r="Q401" s="88"/>
      <c r="R401" s="53"/>
      <c r="S401" s="53"/>
      <c r="T401" s="53"/>
      <c r="U401" s="53"/>
      <c r="V401" s="53"/>
      <c r="W401" s="53"/>
      <c r="X401" s="53"/>
      <c r="Y401" s="53"/>
      <c r="Z401" s="54">
        <f>AA401+AB401+AC401</f>
        <v>5415.2</v>
      </c>
      <c r="AA401" s="58"/>
      <c r="AB401" s="58"/>
      <c r="AC401" s="58">
        <f>TRUNC(D401*K401*0.0000001,1)</f>
        <v>5415.2</v>
      </c>
      <c r="AD401" s="22" t="s">
        <v>962</v>
      </c>
    </row>
    <row r="402" spans="2:30" ht="19.7" customHeight="1" x14ac:dyDescent="0.2">
      <c r="B402" s="57" t="s">
        <v>962</v>
      </c>
      <c r="C402" s="19" t="s">
        <v>962</v>
      </c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27"/>
      <c r="AA402" s="21"/>
      <c r="AB402" s="21"/>
      <c r="AC402" s="21"/>
      <c r="AD402" s="22" t="s">
        <v>962</v>
      </c>
    </row>
    <row r="403" spans="2:30" ht="19.7" customHeight="1" x14ac:dyDescent="0.2">
      <c r="B403" s="51" t="s">
        <v>628</v>
      </c>
      <c r="C403" s="52" t="s">
        <v>962</v>
      </c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4">
        <f>AA403+AB403+AC403</f>
        <v>1500</v>
      </c>
      <c r="AA403" s="55">
        <f>TRUNC(AA404)</f>
        <v>0</v>
      </c>
      <c r="AB403" s="55">
        <f>TRUNC(AB404)</f>
        <v>0</v>
      </c>
      <c r="AC403" s="55">
        <f>TRUNC(AC404)</f>
        <v>1500</v>
      </c>
      <c r="AD403" s="56"/>
    </row>
    <row r="404" spans="2:30" ht="19.7" customHeight="1" x14ac:dyDescent="0.2">
      <c r="B404" s="57" t="s">
        <v>81</v>
      </c>
      <c r="C404" s="19" t="s">
        <v>962</v>
      </c>
      <c r="D404" s="88">
        <v>3500000</v>
      </c>
      <c r="E404" s="88"/>
      <c r="F404" s="88"/>
      <c r="G404" s="88"/>
      <c r="H404" s="88"/>
      <c r="I404" s="88" t="s">
        <v>195</v>
      </c>
      <c r="J404" s="88"/>
      <c r="K404" s="88">
        <v>4288</v>
      </c>
      <c r="L404" s="88"/>
      <c r="M404" s="88"/>
      <c r="N404" s="53" t="s">
        <v>812</v>
      </c>
      <c r="O404" s="88" t="s">
        <v>863</v>
      </c>
      <c r="P404" s="88"/>
      <c r="Q404" s="88"/>
      <c r="R404" s="53"/>
      <c r="S404" s="53"/>
      <c r="T404" s="53"/>
      <c r="U404" s="53"/>
      <c r="V404" s="53"/>
      <c r="W404" s="53"/>
      <c r="X404" s="53"/>
      <c r="Y404" s="53"/>
      <c r="Z404" s="54">
        <f>AA404+AB404+AC404</f>
        <v>1500.8</v>
      </c>
      <c r="AA404" s="58"/>
      <c r="AB404" s="58"/>
      <c r="AC404" s="58">
        <f>TRUNC(D404*K404*0.0000001,1)</f>
        <v>1500.8</v>
      </c>
      <c r="AD404" s="22" t="s">
        <v>962</v>
      </c>
    </row>
    <row r="405" spans="2:30" ht="19.7" customHeight="1" x14ac:dyDescent="0.2">
      <c r="B405" s="57" t="s">
        <v>962</v>
      </c>
      <c r="C405" s="19" t="s">
        <v>962</v>
      </c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27"/>
      <c r="AA405" s="21"/>
      <c r="AB405" s="21"/>
      <c r="AC405" s="21"/>
      <c r="AD405" s="22" t="s">
        <v>962</v>
      </c>
    </row>
    <row r="406" spans="2:30" ht="19.7" customHeight="1" x14ac:dyDescent="0.2">
      <c r="B406" s="51" t="s">
        <v>943</v>
      </c>
      <c r="C406" s="52" t="s">
        <v>962</v>
      </c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4">
        <f>AA406+AB406+AC406</f>
        <v>42</v>
      </c>
      <c r="AA406" s="55">
        <f>TRUNC(AA407)</f>
        <v>0</v>
      </c>
      <c r="AB406" s="55">
        <f>TRUNC(AB407)</f>
        <v>0</v>
      </c>
      <c r="AC406" s="55">
        <f>TRUNC(AC407)</f>
        <v>42</v>
      </c>
      <c r="AD406" s="56"/>
    </row>
    <row r="407" spans="2:30" ht="19.7" customHeight="1" x14ac:dyDescent="0.2">
      <c r="B407" s="59" t="s">
        <v>886</v>
      </c>
      <c r="C407" s="24" t="s">
        <v>962</v>
      </c>
      <c r="D407" s="89">
        <v>100000</v>
      </c>
      <c r="E407" s="89"/>
      <c r="F407" s="89"/>
      <c r="G407" s="89"/>
      <c r="H407" s="89"/>
      <c r="I407" s="89" t="s">
        <v>195</v>
      </c>
      <c r="J407" s="89"/>
      <c r="K407" s="89">
        <v>4288</v>
      </c>
      <c r="L407" s="89"/>
      <c r="M407" s="89"/>
      <c r="N407" s="9" t="s">
        <v>812</v>
      </c>
      <c r="O407" s="89" t="s">
        <v>863</v>
      </c>
      <c r="P407" s="89"/>
      <c r="Q407" s="89"/>
      <c r="R407" s="9"/>
      <c r="S407" s="9"/>
      <c r="T407" s="9"/>
      <c r="U407" s="9"/>
      <c r="V407" s="9"/>
      <c r="W407" s="9"/>
      <c r="X407" s="9"/>
      <c r="Y407" s="9"/>
      <c r="Z407" s="60">
        <f>AA407+AB407+AC407</f>
        <v>42.8</v>
      </c>
      <c r="AA407" s="61"/>
      <c r="AB407" s="61"/>
      <c r="AC407" s="61">
        <f>TRUNC(D407*K407*0.0000001,1)</f>
        <v>42.8</v>
      </c>
      <c r="AD407" s="26" t="s">
        <v>962</v>
      </c>
    </row>
    <row r="408" spans="2:30" x14ac:dyDescent="0.2"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</row>
  </sheetData>
  <mergeCells count="717">
    <mergeCell ref="D3:Y3"/>
    <mergeCell ref="B1:AD2"/>
    <mergeCell ref="D5:H5"/>
    <mergeCell ref="I5:J5"/>
    <mergeCell ref="K5:M5"/>
    <mergeCell ref="O5:Q5"/>
    <mergeCell ref="D6:G6"/>
    <mergeCell ref="J6:M6"/>
    <mergeCell ref="D7:G7"/>
    <mergeCell ref="J7:M7"/>
    <mergeCell ref="D8:F8"/>
    <mergeCell ref="I8:L8"/>
    <mergeCell ref="N8:V8"/>
    <mergeCell ref="D11:H11"/>
    <mergeCell ref="I11:J11"/>
    <mergeCell ref="K11:M11"/>
    <mergeCell ref="O11:Q11"/>
    <mergeCell ref="D12:G12"/>
    <mergeCell ref="J12:M12"/>
    <mergeCell ref="D13:G13"/>
    <mergeCell ref="J13:M13"/>
    <mergeCell ref="D14:F14"/>
    <mergeCell ref="I14:L14"/>
    <mergeCell ref="N14:V14"/>
    <mergeCell ref="D17:H17"/>
    <mergeCell ref="I17:J17"/>
    <mergeCell ref="K17:M17"/>
    <mergeCell ref="O17:Q17"/>
    <mergeCell ref="D18:G18"/>
    <mergeCell ref="J18:M18"/>
    <mergeCell ref="D19:G19"/>
    <mergeCell ref="J19:M19"/>
    <mergeCell ref="D20:F20"/>
    <mergeCell ref="I20:L20"/>
    <mergeCell ref="N20:V20"/>
    <mergeCell ref="D23:H23"/>
    <mergeCell ref="I23:J23"/>
    <mergeCell ref="K23:M23"/>
    <mergeCell ref="O23:Q23"/>
    <mergeCell ref="D24:G24"/>
    <mergeCell ref="J24:M24"/>
    <mergeCell ref="D25:G25"/>
    <mergeCell ref="J25:M25"/>
    <mergeCell ref="D26:F26"/>
    <mergeCell ref="I26:L26"/>
    <mergeCell ref="N26:V26"/>
    <mergeCell ref="D29:H29"/>
    <mergeCell ref="I29:J29"/>
    <mergeCell ref="K29:M29"/>
    <mergeCell ref="O29:Q29"/>
    <mergeCell ref="D30:G30"/>
    <mergeCell ref="J30:M30"/>
    <mergeCell ref="D31:G31"/>
    <mergeCell ref="J31:M31"/>
    <mergeCell ref="D32:F32"/>
    <mergeCell ref="I32:L32"/>
    <mergeCell ref="N32:V32"/>
    <mergeCell ref="D35:H35"/>
    <mergeCell ref="I35:J35"/>
    <mergeCell ref="K35:M35"/>
    <mergeCell ref="O35:Q35"/>
    <mergeCell ref="D36:G36"/>
    <mergeCell ref="J36:M36"/>
    <mergeCell ref="D37:G37"/>
    <mergeCell ref="J37:M37"/>
    <mergeCell ref="D38:F38"/>
    <mergeCell ref="I38:L38"/>
    <mergeCell ref="N38:V38"/>
    <mergeCell ref="D41:H41"/>
    <mergeCell ref="I41:J41"/>
    <mergeCell ref="K41:M41"/>
    <mergeCell ref="O41:Q41"/>
    <mergeCell ref="D42:G42"/>
    <mergeCell ref="J42:M42"/>
    <mergeCell ref="D43:G43"/>
    <mergeCell ref="J43:M43"/>
    <mergeCell ref="D44:F44"/>
    <mergeCell ref="I44:L44"/>
    <mergeCell ref="N44:V44"/>
    <mergeCell ref="D47:H47"/>
    <mergeCell ref="I47:J47"/>
    <mergeCell ref="K47:M47"/>
    <mergeCell ref="O47:Q47"/>
    <mergeCell ref="D48:H48"/>
    <mergeCell ref="I48:J48"/>
    <mergeCell ref="K48:M48"/>
    <mergeCell ref="O48:Q48"/>
    <mergeCell ref="D49:G49"/>
    <mergeCell ref="J49:M49"/>
    <mergeCell ref="D50:G50"/>
    <mergeCell ref="J50:M50"/>
    <mergeCell ref="D51:F51"/>
    <mergeCell ref="I51:L51"/>
    <mergeCell ref="N51:V51"/>
    <mergeCell ref="D54:H54"/>
    <mergeCell ref="I54:J54"/>
    <mergeCell ref="K54:M54"/>
    <mergeCell ref="O54:Q54"/>
    <mergeCell ref="D55:H55"/>
    <mergeCell ref="I55:J55"/>
    <mergeCell ref="K55:M55"/>
    <mergeCell ref="O55:Q55"/>
    <mergeCell ref="D56:G56"/>
    <mergeCell ref="J56:M56"/>
    <mergeCell ref="D57:G57"/>
    <mergeCell ref="J57:M57"/>
    <mergeCell ref="D58:F58"/>
    <mergeCell ref="I58:L58"/>
    <mergeCell ref="N58:V58"/>
    <mergeCell ref="D61:H61"/>
    <mergeCell ref="I61:J61"/>
    <mergeCell ref="K61:M61"/>
    <mergeCell ref="O61:Q61"/>
    <mergeCell ref="D62:G62"/>
    <mergeCell ref="J62:M62"/>
    <mergeCell ref="D63:G63"/>
    <mergeCell ref="J63:M63"/>
    <mergeCell ref="D64:F64"/>
    <mergeCell ref="I64:L64"/>
    <mergeCell ref="N64:V64"/>
    <mergeCell ref="D67:H67"/>
    <mergeCell ref="I67:J67"/>
    <mergeCell ref="K67:M67"/>
    <mergeCell ref="O67:Q67"/>
    <mergeCell ref="D68:G68"/>
    <mergeCell ref="J68:M68"/>
    <mergeCell ref="D69:G69"/>
    <mergeCell ref="J69:M69"/>
    <mergeCell ref="D70:F70"/>
    <mergeCell ref="I70:L70"/>
    <mergeCell ref="N70:V70"/>
    <mergeCell ref="D73:H73"/>
    <mergeCell ref="I73:J73"/>
    <mergeCell ref="K73:M73"/>
    <mergeCell ref="O73:Q73"/>
    <mergeCell ref="D74:G74"/>
    <mergeCell ref="J74:M74"/>
    <mergeCell ref="D75:G75"/>
    <mergeCell ref="J75:M75"/>
    <mergeCell ref="D76:F76"/>
    <mergeCell ref="I76:L76"/>
    <mergeCell ref="N76:V76"/>
    <mergeCell ref="D79:H79"/>
    <mergeCell ref="I79:J79"/>
    <mergeCell ref="K79:M79"/>
    <mergeCell ref="O79:Q79"/>
    <mergeCell ref="D80:G80"/>
    <mergeCell ref="J80:M80"/>
    <mergeCell ref="D81:G81"/>
    <mergeCell ref="J81:M81"/>
    <mergeCell ref="D82:F82"/>
    <mergeCell ref="I82:L82"/>
    <mergeCell ref="N82:V82"/>
    <mergeCell ref="D85:H85"/>
    <mergeCell ref="I85:J85"/>
    <mergeCell ref="K85:M85"/>
    <mergeCell ref="O85:Q85"/>
    <mergeCell ref="D86:H86"/>
    <mergeCell ref="I86:J86"/>
    <mergeCell ref="K86:M86"/>
    <mergeCell ref="O86:Q86"/>
    <mergeCell ref="D87:G87"/>
    <mergeCell ref="J87:M87"/>
    <mergeCell ref="D88:G88"/>
    <mergeCell ref="J88:M88"/>
    <mergeCell ref="D89:F89"/>
    <mergeCell ref="I89:L89"/>
    <mergeCell ref="N89:V89"/>
    <mergeCell ref="D92:H92"/>
    <mergeCell ref="I92:J92"/>
    <mergeCell ref="K92:M92"/>
    <mergeCell ref="O92:Q92"/>
    <mergeCell ref="D93:H93"/>
    <mergeCell ref="I93:J93"/>
    <mergeCell ref="K93:M93"/>
    <mergeCell ref="O93:Q93"/>
    <mergeCell ref="D94:G94"/>
    <mergeCell ref="J94:M94"/>
    <mergeCell ref="D95:G95"/>
    <mergeCell ref="J95:M95"/>
    <mergeCell ref="D96:F96"/>
    <mergeCell ref="I96:L96"/>
    <mergeCell ref="N96:V96"/>
    <mergeCell ref="D99:H99"/>
    <mergeCell ref="I99:J99"/>
    <mergeCell ref="K99:M99"/>
    <mergeCell ref="O99:Q99"/>
    <mergeCell ref="D100:G100"/>
    <mergeCell ref="J100:M100"/>
    <mergeCell ref="D101:G101"/>
    <mergeCell ref="J101:M101"/>
    <mergeCell ref="D102:F102"/>
    <mergeCell ref="I102:L102"/>
    <mergeCell ref="N102:V102"/>
    <mergeCell ref="D105:H105"/>
    <mergeCell ref="I105:J105"/>
    <mergeCell ref="K105:M105"/>
    <mergeCell ref="O105:Q105"/>
    <mergeCell ref="D106:G106"/>
    <mergeCell ref="J106:M106"/>
    <mergeCell ref="D107:G107"/>
    <mergeCell ref="J107:M107"/>
    <mergeCell ref="D108:F108"/>
    <mergeCell ref="I108:L108"/>
    <mergeCell ref="N108:V108"/>
    <mergeCell ref="D111:H111"/>
    <mergeCell ref="I111:J111"/>
    <mergeCell ref="K111:M111"/>
    <mergeCell ref="O111:Q111"/>
    <mergeCell ref="D112:G112"/>
    <mergeCell ref="J112:M112"/>
    <mergeCell ref="D113:G113"/>
    <mergeCell ref="J113:M113"/>
    <mergeCell ref="D114:F114"/>
    <mergeCell ref="I114:L114"/>
    <mergeCell ref="N114:V114"/>
    <mergeCell ref="D117:H117"/>
    <mergeCell ref="I117:J117"/>
    <mergeCell ref="K117:M117"/>
    <mergeCell ref="O117:Q117"/>
    <mergeCell ref="D118:G118"/>
    <mergeCell ref="J118:M118"/>
    <mergeCell ref="D119:G119"/>
    <mergeCell ref="J119:M119"/>
    <mergeCell ref="D120:F120"/>
    <mergeCell ref="I120:L120"/>
    <mergeCell ref="N120:V120"/>
    <mergeCell ref="D123:H123"/>
    <mergeCell ref="I123:J123"/>
    <mergeCell ref="K123:M123"/>
    <mergeCell ref="O123:Q123"/>
    <mergeCell ref="D124:G124"/>
    <mergeCell ref="J124:M124"/>
    <mergeCell ref="D125:G125"/>
    <mergeCell ref="J125:M125"/>
    <mergeCell ref="D126:F126"/>
    <mergeCell ref="I126:L126"/>
    <mergeCell ref="N126:V126"/>
    <mergeCell ref="D129:H129"/>
    <mergeCell ref="I129:J129"/>
    <mergeCell ref="K129:M129"/>
    <mergeCell ref="O129:Q129"/>
    <mergeCell ref="D130:G130"/>
    <mergeCell ref="J130:M130"/>
    <mergeCell ref="D131:G131"/>
    <mergeCell ref="J131:M131"/>
    <mergeCell ref="D132:F132"/>
    <mergeCell ref="I132:L132"/>
    <mergeCell ref="N132:V132"/>
    <mergeCell ref="D135:H135"/>
    <mergeCell ref="I135:J135"/>
    <mergeCell ref="K135:M135"/>
    <mergeCell ref="O135:Q135"/>
    <mergeCell ref="D136:G136"/>
    <mergeCell ref="J136:M136"/>
    <mergeCell ref="D137:G137"/>
    <mergeCell ref="J137:M137"/>
    <mergeCell ref="D138:F138"/>
    <mergeCell ref="I138:L138"/>
    <mergeCell ref="N138:V138"/>
    <mergeCell ref="D141:H141"/>
    <mergeCell ref="I141:J141"/>
    <mergeCell ref="K141:M141"/>
    <mergeCell ref="O141:Q141"/>
    <mergeCell ref="D142:G142"/>
    <mergeCell ref="J142:M142"/>
    <mergeCell ref="D143:G143"/>
    <mergeCell ref="J143:M143"/>
    <mergeCell ref="D144:F144"/>
    <mergeCell ref="I144:L144"/>
    <mergeCell ref="N144:V144"/>
    <mergeCell ref="D147:H147"/>
    <mergeCell ref="I147:J147"/>
    <mergeCell ref="K147:M147"/>
    <mergeCell ref="O147:Q147"/>
    <mergeCell ref="D148:G148"/>
    <mergeCell ref="J148:M148"/>
    <mergeCell ref="D149:G149"/>
    <mergeCell ref="J149:M149"/>
    <mergeCell ref="D150:F150"/>
    <mergeCell ref="I150:L150"/>
    <mergeCell ref="N150:V150"/>
    <mergeCell ref="D153:H153"/>
    <mergeCell ref="I153:J153"/>
    <mergeCell ref="K153:M153"/>
    <mergeCell ref="O153:Q153"/>
    <mergeCell ref="D154:G154"/>
    <mergeCell ref="J154:M154"/>
    <mergeCell ref="D155:G155"/>
    <mergeCell ref="J155:M155"/>
    <mergeCell ref="D156:F156"/>
    <mergeCell ref="I156:L156"/>
    <mergeCell ref="N156:V156"/>
    <mergeCell ref="D159:H159"/>
    <mergeCell ref="I159:J159"/>
    <mergeCell ref="K159:M159"/>
    <mergeCell ref="O159:Q159"/>
    <mergeCell ref="D160:G160"/>
    <mergeCell ref="J160:M160"/>
    <mergeCell ref="D161:G161"/>
    <mergeCell ref="J161:M161"/>
    <mergeCell ref="D162:F162"/>
    <mergeCell ref="I162:L162"/>
    <mergeCell ref="N162:V162"/>
    <mergeCell ref="D165:H165"/>
    <mergeCell ref="I165:J165"/>
    <mergeCell ref="K165:M165"/>
    <mergeCell ref="O165:Q165"/>
    <mergeCell ref="D166:G166"/>
    <mergeCell ref="J166:M166"/>
    <mergeCell ref="D167:G167"/>
    <mergeCell ref="J167:M167"/>
    <mergeCell ref="D168:F168"/>
    <mergeCell ref="I168:L168"/>
    <mergeCell ref="N168:V168"/>
    <mergeCell ref="D171:H171"/>
    <mergeCell ref="I171:J171"/>
    <mergeCell ref="K171:M171"/>
    <mergeCell ref="O171:Q171"/>
    <mergeCell ref="D172:G172"/>
    <mergeCell ref="J172:M172"/>
    <mergeCell ref="D173:G173"/>
    <mergeCell ref="J173:M173"/>
    <mergeCell ref="D174:F174"/>
    <mergeCell ref="I174:L174"/>
    <mergeCell ref="N174:V174"/>
    <mergeCell ref="D177:H177"/>
    <mergeCell ref="I177:J177"/>
    <mergeCell ref="K177:M177"/>
    <mergeCell ref="O177:Q177"/>
    <mergeCell ref="D178:G178"/>
    <mergeCell ref="J178:M178"/>
    <mergeCell ref="D179:G179"/>
    <mergeCell ref="J179:M179"/>
    <mergeCell ref="D180:F180"/>
    <mergeCell ref="I180:L180"/>
    <mergeCell ref="N180:V180"/>
    <mergeCell ref="D183:H183"/>
    <mergeCell ref="I183:J183"/>
    <mergeCell ref="K183:M183"/>
    <mergeCell ref="O183:Q183"/>
    <mergeCell ref="D184:G184"/>
    <mergeCell ref="J184:M184"/>
    <mergeCell ref="D185:G185"/>
    <mergeCell ref="J185:M185"/>
    <mergeCell ref="D186:F186"/>
    <mergeCell ref="I186:L186"/>
    <mergeCell ref="N186:V186"/>
    <mergeCell ref="D189:H189"/>
    <mergeCell ref="I189:J189"/>
    <mergeCell ref="K189:M189"/>
    <mergeCell ref="O189:Q189"/>
    <mergeCell ref="D190:G190"/>
    <mergeCell ref="J190:M190"/>
    <mergeCell ref="D191:G191"/>
    <mergeCell ref="J191:M191"/>
    <mergeCell ref="D192:F192"/>
    <mergeCell ref="I192:L192"/>
    <mergeCell ref="N192:V192"/>
    <mergeCell ref="D195:H195"/>
    <mergeCell ref="I195:J195"/>
    <mergeCell ref="K195:M195"/>
    <mergeCell ref="O195:Q195"/>
    <mergeCell ref="D196:G196"/>
    <mergeCell ref="J196:M196"/>
    <mergeCell ref="D197:G197"/>
    <mergeCell ref="J197:M197"/>
    <mergeCell ref="D198:F198"/>
    <mergeCell ref="I198:L198"/>
    <mergeCell ref="N198:V198"/>
    <mergeCell ref="D201:H201"/>
    <mergeCell ref="I201:J201"/>
    <mergeCell ref="K201:M201"/>
    <mergeCell ref="O201:Q201"/>
    <mergeCell ref="D202:G202"/>
    <mergeCell ref="J202:M202"/>
    <mergeCell ref="D203:G203"/>
    <mergeCell ref="J203:M203"/>
    <mergeCell ref="D204:F204"/>
    <mergeCell ref="I204:L204"/>
    <mergeCell ref="N204:V204"/>
    <mergeCell ref="D207:H207"/>
    <mergeCell ref="I207:J207"/>
    <mergeCell ref="K207:M207"/>
    <mergeCell ref="O207:Q207"/>
    <mergeCell ref="D208:G208"/>
    <mergeCell ref="J208:M208"/>
    <mergeCell ref="D209:G209"/>
    <mergeCell ref="J209:M209"/>
    <mergeCell ref="D210:F210"/>
    <mergeCell ref="I210:L210"/>
    <mergeCell ref="N210:V210"/>
    <mergeCell ref="D213:H213"/>
    <mergeCell ref="I213:J213"/>
    <mergeCell ref="K213:M213"/>
    <mergeCell ref="O213:Q213"/>
    <mergeCell ref="D214:G214"/>
    <mergeCell ref="J214:M214"/>
    <mergeCell ref="D215:G215"/>
    <mergeCell ref="J215:M215"/>
    <mergeCell ref="D216:F216"/>
    <mergeCell ref="I216:L216"/>
    <mergeCell ref="N216:V216"/>
    <mergeCell ref="D219:H219"/>
    <mergeCell ref="I219:J219"/>
    <mergeCell ref="K219:M219"/>
    <mergeCell ref="O219:Q219"/>
    <mergeCell ref="D220:G220"/>
    <mergeCell ref="J220:M220"/>
    <mergeCell ref="D221:G221"/>
    <mergeCell ref="J221:M221"/>
    <mergeCell ref="D222:F222"/>
    <mergeCell ref="I222:L222"/>
    <mergeCell ref="N222:V222"/>
    <mergeCell ref="D225:H225"/>
    <mergeCell ref="I225:J225"/>
    <mergeCell ref="K225:M225"/>
    <mergeCell ref="O225:Q225"/>
    <mergeCell ref="D226:G226"/>
    <mergeCell ref="J226:M226"/>
    <mergeCell ref="D227:G227"/>
    <mergeCell ref="J227:M227"/>
    <mergeCell ref="D228:F228"/>
    <mergeCell ref="I228:L228"/>
    <mergeCell ref="N228:V228"/>
    <mergeCell ref="D231:H231"/>
    <mergeCell ref="I231:J231"/>
    <mergeCell ref="K231:M231"/>
    <mergeCell ref="O231:Q231"/>
    <mergeCell ref="D232:G232"/>
    <mergeCell ref="J232:M232"/>
    <mergeCell ref="D233:G233"/>
    <mergeCell ref="J233:M233"/>
    <mergeCell ref="D234:F234"/>
    <mergeCell ref="I234:L234"/>
    <mergeCell ref="N234:V234"/>
    <mergeCell ref="D237:H237"/>
    <mergeCell ref="I237:J237"/>
    <mergeCell ref="K237:M237"/>
    <mergeCell ref="O237:Q237"/>
    <mergeCell ref="D238:G238"/>
    <mergeCell ref="J238:M238"/>
    <mergeCell ref="D239:G239"/>
    <mergeCell ref="J239:M239"/>
    <mergeCell ref="D240:F240"/>
    <mergeCell ref="I240:L240"/>
    <mergeCell ref="N240:V240"/>
    <mergeCell ref="D243:H243"/>
    <mergeCell ref="I243:J243"/>
    <mergeCell ref="K243:M243"/>
    <mergeCell ref="O243:Q243"/>
    <mergeCell ref="D244:F244"/>
    <mergeCell ref="I244:L244"/>
    <mergeCell ref="N244:V244"/>
    <mergeCell ref="D247:H247"/>
    <mergeCell ref="I247:J247"/>
    <mergeCell ref="K247:M247"/>
    <mergeCell ref="O247:Q247"/>
    <mergeCell ref="D248:H248"/>
    <mergeCell ref="I248:J248"/>
    <mergeCell ref="K248:M248"/>
    <mergeCell ref="O248:Q248"/>
    <mergeCell ref="D249:G249"/>
    <mergeCell ref="J249:M249"/>
    <mergeCell ref="D250:G250"/>
    <mergeCell ref="J250:M250"/>
    <mergeCell ref="D251:F251"/>
    <mergeCell ref="I251:L251"/>
    <mergeCell ref="N251:V251"/>
    <mergeCell ref="D254:H254"/>
    <mergeCell ref="I254:J254"/>
    <mergeCell ref="K254:M254"/>
    <mergeCell ref="O254:Q254"/>
    <mergeCell ref="D255:G255"/>
    <mergeCell ref="J255:M255"/>
    <mergeCell ref="D256:G256"/>
    <mergeCell ref="J256:M256"/>
    <mergeCell ref="D257:F257"/>
    <mergeCell ref="I257:L257"/>
    <mergeCell ref="N257:V257"/>
    <mergeCell ref="D260:H260"/>
    <mergeCell ref="I260:J260"/>
    <mergeCell ref="K260:M260"/>
    <mergeCell ref="O260:Q260"/>
    <mergeCell ref="D263:H263"/>
    <mergeCell ref="I263:J263"/>
    <mergeCell ref="K263:M263"/>
    <mergeCell ref="O263:Q263"/>
    <mergeCell ref="D266:H266"/>
    <mergeCell ref="I266:J266"/>
    <mergeCell ref="K266:M266"/>
    <mergeCell ref="O266:Q266"/>
    <mergeCell ref="D269:H269"/>
    <mergeCell ref="I269:J269"/>
    <mergeCell ref="K269:M269"/>
    <mergeCell ref="O269:Q269"/>
    <mergeCell ref="D272:H272"/>
    <mergeCell ref="I272:J272"/>
    <mergeCell ref="K272:M272"/>
    <mergeCell ref="O272:Q272"/>
    <mergeCell ref="D275:H275"/>
    <mergeCell ref="I275:J275"/>
    <mergeCell ref="K275:M275"/>
    <mergeCell ref="O275:Q275"/>
    <mergeCell ref="D278:H278"/>
    <mergeCell ref="I278:J278"/>
    <mergeCell ref="K278:M278"/>
    <mergeCell ref="O278:Q278"/>
    <mergeCell ref="D281:H281"/>
    <mergeCell ref="I281:J281"/>
    <mergeCell ref="K281:M281"/>
    <mergeCell ref="O281:Q281"/>
    <mergeCell ref="D284:H284"/>
    <mergeCell ref="I284:J284"/>
    <mergeCell ref="K284:M284"/>
    <mergeCell ref="O284:Q284"/>
    <mergeCell ref="D287:H287"/>
    <mergeCell ref="I287:J287"/>
    <mergeCell ref="K287:M287"/>
    <mergeCell ref="O287:Q287"/>
    <mergeCell ref="D288:G288"/>
    <mergeCell ref="J288:M288"/>
    <mergeCell ref="D289:G289"/>
    <mergeCell ref="J289:M289"/>
    <mergeCell ref="D290:F290"/>
    <mergeCell ref="I290:L290"/>
    <mergeCell ref="N290:V290"/>
    <mergeCell ref="D293:H293"/>
    <mergeCell ref="I293:J293"/>
    <mergeCell ref="K293:M293"/>
    <mergeCell ref="O293:Q293"/>
    <mergeCell ref="D294:G294"/>
    <mergeCell ref="J294:M294"/>
    <mergeCell ref="D295:G295"/>
    <mergeCell ref="J295:M295"/>
    <mergeCell ref="D296:F296"/>
    <mergeCell ref="I296:L296"/>
    <mergeCell ref="N296:V296"/>
    <mergeCell ref="D299:H299"/>
    <mergeCell ref="I299:J299"/>
    <mergeCell ref="K299:M299"/>
    <mergeCell ref="O299:Q299"/>
    <mergeCell ref="D300:G300"/>
    <mergeCell ref="J300:M300"/>
    <mergeCell ref="D301:G301"/>
    <mergeCell ref="J301:M301"/>
    <mergeCell ref="D302:F302"/>
    <mergeCell ref="I302:L302"/>
    <mergeCell ref="N302:V302"/>
    <mergeCell ref="D305:H305"/>
    <mergeCell ref="I305:J305"/>
    <mergeCell ref="K305:M305"/>
    <mergeCell ref="O305:Q305"/>
    <mergeCell ref="D306:G306"/>
    <mergeCell ref="J306:M306"/>
    <mergeCell ref="D307:G307"/>
    <mergeCell ref="J307:M307"/>
    <mergeCell ref="D308:F308"/>
    <mergeCell ref="I308:L308"/>
    <mergeCell ref="N308:V308"/>
    <mergeCell ref="D311:H311"/>
    <mergeCell ref="I311:J311"/>
    <mergeCell ref="K311:M311"/>
    <mergeCell ref="O311:Q311"/>
    <mergeCell ref="D312:G312"/>
    <mergeCell ref="J312:M312"/>
    <mergeCell ref="D313:G313"/>
    <mergeCell ref="J313:M313"/>
    <mergeCell ref="D316:H316"/>
    <mergeCell ref="I316:J316"/>
    <mergeCell ref="K316:M316"/>
    <mergeCell ref="O316:Q316"/>
    <mergeCell ref="D317:G317"/>
    <mergeCell ref="J317:M317"/>
    <mergeCell ref="D318:G318"/>
    <mergeCell ref="J318:M318"/>
    <mergeCell ref="D319:F319"/>
    <mergeCell ref="I319:L319"/>
    <mergeCell ref="N319:V319"/>
    <mergeCell ref="D322:H322"/>
    <mergeCell ref="I322:J322"/>
    <mergeCell ref="K322:M322"/>
    <mergeCell ref="O322:Q322"/>
    <mergeCell ref="D323:G323"/>
    <mergeCell ref="J323:M323"/>
    <mergeCell ref="D324:G324"/>
    <mergeCell ref="J324:M324"/>
    <mergeCell ref="D325:F325"/>
    <mergeCell ref="I325:L325"/>
    <mergeCell ref="N325:V325"/>
    <mergeCell ref="D328:H328"/>
    <mergeCell ref="I328:J328"/>
    <mergeCell ref="K328:M328"/>
    <mergeCell ref="O328:Q328"/>
    <mergeCell ref="D329:G329"/>
    <mergeCell ref="J329:M329"/>
    <mergeCell ref="D330:G330"/>
    <mergeCell ref="J330:M330"/>
    <mergeCell ref="D331:F331"/>
    <mergeCell ref="I331:L331"/>
    <mergeCell ref="N331:V331"/>
    <mergeCell ref="D334:H334"/>
    <mergeCell ref="I334:J334"/>
    <mergeCell ref="K334:M334"/>
    <mergeCell ref="O334:Q334"/>
    <mergeCell ref="D335:G335"/>
    <mergeCell ref="J335:M335"/>
    <mergeCell ref="D336:G336"/>
    <mergeCell ref="J336:M336"/>
    <mergeCell ref="D337:F337"/>
    <mergeCell ref="I337:L337"/>
    <mergeCell ref="N337:V337"/>
    <mergeCell ref="D340:H340"/>
    <mergeCell ref="I340:J340"/>
    <mergeCell ref="K340:M340"/>
    <mergeCell ref="O340:Q340"/>
    <mergeCell ref="D341:G341"/>
    <mergeCell ref="J341:M341"/>
    <mergeCell ref="D342:G342"/>
    <mergeCell ref="J342:M342"/>
    <mergeCell ref="D343:F343"/>
    <mergeCell ref="I343:L343"/>
    <mergeCell ref="N343:V343"/>
    <mergeCell ref="D346:H346"/>
    <mergeCell ref="I346:J346"/>
    <mergeCell ref="K346:M346"/>
    <mergeCell ref="O346:Q346"/>
    <mergeCell ref="D347:G347"/>
    <mergeCell ref="J347:M347"/>
    <mergeCell ref="D348:G348"/>
    <mergeCell ref="J348:M348"/>
    <mergeCell ref="D349:F349"/>
    <mergeCell ref="I349:L349"/>
    <mergeCell ref="N349:V349"/>
    <mergeCell ref="D352:H352"/>
    <mergeCell ref="I352:J352"/>
    <mergeCell ref="K352:M352"/>
    <mergeCell ref="O352:Q352"/>
    <mergeCell ref="D353:G353"/>
    <mergeCell ref="J353:M353"/>
    <mergeCell ref="D354:G354"/>
    <mergeCell ref="J354:M354"/>
    <mergeCell ref="D355:F355"/>
    <mergeCell ref="I355:L355"/>
    <mergeCell ref="N355:V355"/>
    <mergeCell ref="D358:H358"/>
    <mergeCell ref="I358:J358"/>
    <mergeCell ref="K358:M358"/>
    <mergeCell ref="O358:Q358"/>
    <mergeCell ref="D361:H361"/>
    <mergeCell ref="I361:J361"/>
    <mergeCell ref="K361:M361"/>
    <mergeCell ref="O361:Q361"/>
    <mergeCell ref="D364:H364"/>
    <mergeCell ref="I364:J364"/>
    <mergeCell ref="K364:M364"/>
    <mergeCell ref="O364:Q364"/>
    <mergeCell ref="D367:H367"/>
    <mergeCell ref="I367:J367"/>
    <mergeCell ref="K367:M367"/>
    <mergeCell ref="O367:Q367"/>
    <mergeCell ref="D368:G368"/>
    <mergeCell ref="J368:M368"/>
    <mergeCell ref="D369:G369"/>
    <mergeCell ref="J369:M369"/>
    <mergeCell ref="D372:H372"/>
    <mergeCell ref="I372:J372"/>
    <mergeCell ref="K372:M372"/>
    <mergeCell ref="O372:Q372"/>
    <mergeCell ref="D373:G373"/>
    <mergeCell ref="J373:M373"/>
    <mergeCell ref="D374:G374"/>
    <mergeCell ref="J374:M374"/>
    <mergeCell ref="D377:H377"/>
    <mergeCell ref="I377:J377"/>
    <mergeCell ref="K377:M377"/>
    <mergeCell ref="O377:Q377"/>
    <mergeCell ref="D380:H380"/>
    <mergeCell ref="I380:J380"/>
    <mergeCell ref="K380:M380"/>
    <mergeCell ref="O380:Q380"/>
    <mergeCell ref="D383:H383"/>
    <mergeCell ref="I383:J383"/>
    <mergeCell ref="K383:M383"/>
    <mergeCell ref="O383:Q383"/>
    <mergeCell ref="D386:H386"/>
    <mergeCell ref="I386:J386"/>
    <mergeCell ref="K386:M386"/>
    <mergeCell ref="O386:Q386"/>
    <mergeCell ref="D389:H389"/>
    <mergeCell ref="I389:J389"/>
    <mergeCell ref="K389:M389"/>
    <mergeCell ref="O389:Q389"/>
    <mergeCell ref="D392:H392"/>
    <mergeCell ref="I392:J392"/>
    <mergeCell ref="K392:M392"/>
    <mergeCell ref="O392:Q392"/>
    <mergeCell ref="D395:H395"/>
    <mergeCell ref="I395:J395"/>
    <mergeCell ref="K395:M395"/>
    <mergeCell ref="O395:Q395"/>
    <mergeCell ref="D398:H398"/>
    <mergeCell ref="I398:J398"/>
    <mergeCell ref="K398:M398"/>
    <mergeCell ref="O398:Q398"/>
    <mergeCell ref="D401:H401"/>
    <mergeCell ref="I401:J401"/>
    <mergeCell ref="K401:M401"/>
    <mergeCell ref="O401:Q401"/>
    <mergeCell ref="D404:H404"/>
    <mergeCell ref="I404:J404"/>
    <mergeCell ref="K404:M404"/>
    <mergeCell ref="O404:Q404"/>
    <mergeCell ref="D407:H407"/>
    <mergeCell ref="I407:J407"/>
    <mergeCell ref="K407:M407"/>
    <mergeCell ref="O407:Q407"/>
  </mergeCells>
  <phoneticPr fontId="5" type="noConversion"/>
  <pageMargins left="0.98425196850393704" right="7.874015748031496E-2" top="0.6692913385826772" bottom="0.59055118110236215" header="0.5" footer="0.5"/>
  <pageSetup paperSize="9" scale="80" orientation="landscape" copies="0"/>
  <headerFooter alignWithMargins="0"/>
  <rowBreaks count="14" manualBreakCount="14">
    <brk id="32" min="2" max="30" man="1"/>
    <brk id="60" min="2" max="30" man="1"/>
    <brk id="88" min="2" max="30" man="1"/>
    <brk id="116" min="2" max="30" man="1"/>
    <brk id="144" min="2" max="30" man="1"/>
    <brk id="172" min="2" max="30" man="1"/>
    <brk id="200" min="2" max="30" man="1"/>
    <brk id="228" min="2" max="30" man="1"/>
    <brk id="256" min="2" max="30" man="1"/>
    <brk id="284" min="2" max="30" man="1"/>
    <brk id="312" min="2" max="30" man="1"/>
    <brk id="340" min="2" max="30" man="1"/>
    <brk id="368" min="2" max="30" man="1"/>
    <brk id="396" min="2" max="3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A4F7E-4FC4-4D2B-AD7C-D82D3E4D4AAD}">
  <sheetPr>
    <tabColor rgb="FFFF0000"/>
  </sheetPr>
  <dimension ref="B1:N31"/>
  <sheetViews>
    <sheetView workbookViewId="0">
      <selection activeCell="AA21" sqref="AA21:AB21"/>
    </sheetView>
  </sheetViews>
  <sheetFormatPr defaultRowHeight="12.75" x14ac:dyDescent="0.2"/>
  <cols>
    <col min="1" max="1" width="0.7109375" customWidth="1"/>
    <col min="2" max="2" width="2.140625" customWidth="1"/>
    <col min="3" max="3" width="10.42578125" customWidth="1"/>
    <col min="4" max="5" width="25" customWidth="1"/>
    <col min="6" max="6" width="2.140625" customWidth="1"/>
    <col min="7" max="7" width="4.140625" customWidth="1"/>
    <col min="8" max="8" width="16.5703125" customWidth="1"/>
    <col min="9" max="9" width="12.42578125" customWidth="1"/>
    <col min="10" max="10" width="6.28515625" customWidth="1"/>
    <col min="11" max="11" width="16.5703125" customWidth="1"/>
    <col min="12" max="12" width="2.140625" customWidth="1"/>
  </cols>
  <sheetData>
    <row r="1" spans="2:14" ht="24.95" customHeight="1" x14ac:dyDescent="0.2">
      <c r="B1" s="84" t="s">
        <v>621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28"/>
      <c r="N1" s="28"/>
    </row>
    <row r="2" spans="2:14" ht="9.9499999999999993" customHeight="1" x14ac:dyDescent="0.2"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2:14" ht="30" customHeight="1" x14ac:dyDescent="0.2">
      <c r="B3" s="47"/>
      <c r="C3" s="46"/>
      <c r="D3" s="46"/>
      <c r="E3" s="46"/>
      <c r="F3" s="46"/>
      <c r="G3" s="46"/>
      <c r="H3" s="46"/>
      <c r="I3" s="46"/>
      <c r="J3" s="46"/>
      <c r="K3" s="46"/>
      <c r="L3" s="48"/>
    </row>
    <row r="4" spans="2:14" ht="16.5" x14ac:dyDescent="0.2">
      <c r="B4" s="4"/>
      <c r="C4" s="98" t="s">
        <v>855</v>
      </c>
      <c r="D4" s="98"/>
      <c r="E4" s="98"/>
      <c r="G4" s="98" t="s">
        <v>145</v>
      </c>
      <c r="H4" s="98"/>
      <c r="I4" s="98"/>
      <c r="L4" s="2"/>
    </row>
    <row r="5" spans="2:14" ht="7.5" customHeight="1" x14ac:dyDescent="0.2">
      <c r="B5" s="4"/>
      <c r="L5" s="2"/>
    </row>
    <row r="6" spans="2:14" ht="19.7" customHeight="1" x14ac:dyDescent="0.2">
      <c r="B6" s="4"/>
      <c r="C6" s="30" t="s">
        <v>151</v>
      </c>
      <c r="D6" s="30" t="s">
        <v>161</v>
      </c>
      <c r="E6" s="30" t="s">
        <v>11</v>
      </c>
      <c r="F6" s="34"/>
      <c r="G6" s="30" t="s">
        <v>259</v>
      </c>
      <c r="H6" s="30" t="s">
        <v>525</v>
      </c>
      <c r="I6" s="30" t="s">
        <v>0</v>
      </c>
      <c r="J6" s="30" t="s">
        <v>354</v>
      </c>
      <c r="K6" s="30" t="s">
        <v>3</v>
      </c>
      <c r="L6" s="49"/>
    </row>
    <row r="7" spans="2:14" ht="15.95" customHeight="1" x14ac:dyDescent="0.2">
      <c r="B7" s="4"/>
      <c r="C7" s="31" t="s">
        <v>663</v>
      </c>
      <c r="D7" s="33">
        <v>1334.1</v>
      </c>
      <c r="E7" s="31" t="s">
        <v>962</v>
      </c>
      <c r="F7" s="34"/>
      <c r="G7" s="35" t="s">
        <v>398</v>
      </c>
      <c r="H7" s="31" t="s">
        <v>160</v>
      </c>
      <c r="I7" s="31" t="s">
        <v>962</v>
      </c>
      <c r="J7" s="30" t="s">
        <v>769</v>
      </c>
      <c r="K7" s="36">
        <f>자재단가!R27</f>
        <v>1229</v>
      </c>
      <c r="L7" s="49"/>
    </row>
    <row r="8" spans="2:14" ht="15.95" customHeight="1" x14ac:dyDescent="0.2">
      <c r="B8" s="4"/>
      <c r="C8" s="31" t="s">
        <v>184</v>
      </c>
      <c r="D8" s="33">
        <v>888.66</v>
      </c>
      <c r="E8" s="31" t="s">
        <v>962</v>
      </c>
      <c r="F8" s="34"/>
      <c r="G8" s="35" t="s">
        <v>740</v>
      </c>
      <c r="H8" s="31" t="s">
        <v>281</v>
      </c>
      <c r="I8" s="31" t="s">
        <v>962</v>
      </c>
      <c r="J8" s="30" t="s">
        <v>769</v>
      </c>
      <c r="K8" s="36">
        <f>자재단가!R28</f>
        <v>1423</v>
      </c>
      <c r="L8" s="49"/>
    </row>
    <row r="9" spans="2:14" ht="15.95" customHeight="1" x14ac:dyDescent="0.2">
      <c r="B9" s="4"/>
      <c r="C9" s="31" t="s">
        <v>157</v>
      </c>
      <c r="D9" s="32"/>
      <c r="E9" s="31" t="s">
        <v>962</v>
      </c>
      <c r="F9" s="34"/>
      <c r="G9" s="32"/>
      <c r="H9" s="32"/>
      <c r="I9" s="32"/>
      <c r="J9" s="32"/>
      <c r="K9" s="32"/>
      <c r="L9" s="49"/>
    </row>
    <row r="10" spans="2:14" ht="15.95" customHeight="1" x14ac:dyDescent="0.2">
      <c r="B10" s="4"/>
      <c r="C10" s="31" t="s">
        <v>708</v>
      </c>
      <c r="D10" s="32"/>
      <c r="E10" s="31" t="s">
        <v>962</v>
      </c>
      <c r="F10" s="34"/>
      <c r="G10" s="32"/>
      <c r="H10" s="32"/>
      <c r="I10" s="32"/>
      <c r="J10" s="32"/>
      <c r="K10" s="32"/>
      <c r="L10" s="49"/>
    </row>
    <row r="11" spans="2:14" ht="15.95" customHeight="1" x14ac:dyDescent="0.2">
      <c r="B11" s="4"/>
      <c r="C11" s="31" t="s">
        <v>961</v>
      </c>
      <c r="D11" s="32"/>
      <c r="E11" s="31" t="s">
        <v>962</v>
      </c>
      <c r="F11" s="34"/>
      <c r="G11" s="32"/>
      <c r="H11" s="32"/>
      <c r="I11" s="32"/>
      <c r="J11" s="32"/>
      <c r="K11" s="32"/>
      <c r="L11" s="49"/>
    </row>
    <row r="12" spans="2:14" ht="15.95" customHeight="1" x14ac:dyDescent="0.2">
      <c r="B12" s="4"/>
      <c r="C12" s="31" t="s">
        <v>962</v>
      </c>
      <c r="D12" s="32"/>
      <c r="E12" s="31" t="s">
        <v>962</v>
      </c>
      <c r="F12" s="34"/>
      <c r="G12" s="32"/>
      <c r="H12" s="32"/>
      <c r="I12" s="32"/>
      <c r="J12" s="32"/>
      <c r="K12" s="32"/>
      <c r="L12" s="49"/>
    </row>
    <row r="13" spans="2:14" ht="15.95" customHeight="1" x14ac:dyDescent="0.2">
      <c r="B13" s="4"/>
      <c r="C13" s="32"/>
      <c r="D13" s="32"/>
      <c r="E13" s="32"/>
      <c r="F13" s="34"/>
      <c r="G13" s="32"/>
      <c r="H13" s="32"/>
      <c r="I13" s="32"/>
      <c r="J13" s="32"/>
      <c r="K13" s="32"/>
      <c r="L13" s="49"/>
    </row>
    <row r="14" spans="2:14" ht="15.95" customHeight="1" x14ac:dyDescent="0.2">
      <c r="B14" s="4"/>
      <c r="C14" s="32"/>
      <c r="D14" s="32"/>
      <c r="E14" s="32"/>
      <c r="F14" s="34"/>
      <c r="G14" s="32"/>
      <c r="H14" s="32"/>
      <c r="I14" s="32"/>
      <c r="J14" s="32"/>
      <c r="K14" s="32"/>
      <c r="L14" s="49"/>
    </row>
    <row r="15" spans="2:14" ht="15.95" customHeight="1" x14ac:dyDescent="0.2">
      <c r="B15" s="4"/>
      <c r="C15" s="32"/>
      <c r="D15" s="32"/>
      <c r="E15" s="32"/>
      <c r="F15" s="34"/>
      <c r="G15" s="32"/>
      <c r="H15" s="32"/>
      <c r="I15" s="32"/>
      <c r="J15" s="32"/>
      <c r="K15" s="32"/>
      <c r="L15" s="49"/>
    </row>
    <row r="16" spans="2:14" ht="15.95" customHeight="1" x14ac:dyDescent="0.2">
      <c r="B16" s="4"/>
      <c r="C16" s="32"/>
      <c r="D16" s="32"/>
      <c r="E16" s="32"/>
      <c r="F16" s="34"/>
      <c r="G16" s="32"/>
      <c r="H16" s="32"/>
      <c r="I16" s="32"/>
      <c r="J16" s="32"/>
      <c r="K16" s="32"/>
      <c r="L16" s="49"/>
    </row>
    <row r="17" spans="2:12" ht="30" customHeight="1" x14ac:dyDescent="0.2">
      <c r="B17" s="4"/>
      <c r="C17" s="29"/>
      <c r="D17" s="29"/>
      <c r="E17" s="29"/>
      <c r="G17" s="29"/>
      <c r="H17" s="29"/>
      <c r="I17" s="29"/>
      <c r="J17" s="29"/>
      <c r="K17" s="29"/>
      <c r="L17" s="2"/>
    </row>
    <row r="18" spans="2:12" ht="16.5" x14ac:dyDescent="0.2">
      <c r="B18" s="4"/>
      <c r="C18" s="98" t="s">
        <v>198</v>
      </c>
      <c r="D18" s="98"/>
      <c r="E18" s="98"/>
      <c r="G18" s="98" t="s">
        <v>503</v>
      </c>
      <c r="H18" s="98"/>
      <c r="I18" s="98"/>
      <c r="L18" s="2"/>
    </row>
    <row r="19" spans="2:12" ht="7.5" customHeight="1" x14ac:dyDescent="0.2">
      <c r="B19" s="4"/>
      <c r="L19" s="2"/>
    </row>
    <row r="20" spans="2:12" ht="19.7" customHeight="1" x14ac:dyDescent="0.2">
      <c r="B20" s="4"/>
      <c r="C20" s="30" t="s">
        <v>259</v>
      </c>
      <c r="D20" s="30" t="s">
        <v>198</v>
      </c>
      <c r="E20" s="30" t="s">
        <v>608</v>
      </c>
      <c r="F20" s="34"/>
      <c r="G20" s="30"/>
      <c r="H20" s="39"/>
      <c r="I20" s="39"/>
      <c r="J20" s="39"/>
      <c r="K20" s="41"/>
      <c r="L20" s="2"/>
    </row>
    <row r="21" spans="2:12" ht="15.95" customHeight="1" x14ac:dyDescent="0.2">
      <c r="B21" s="4"/>
      <c r="C21" s="35" t="s">
        <v>280</v>
      </c>
      <c r="D21" s="31" t="s">
        <v>683</v>
      </c>
      <c r="E21" s="33">
        <v>0.2083333</v>
      </c>
      <c r="F21" s="34"/>
      <c r="G21" s="40"/>
      <c r="H21" s="38"/>
      <c r="I21" s="38"/>
      <c r="J21" s="38"/>
      <c r="K21" s="42"/>
      <c r="L21" s="2"/>
    </row>
    <row r="22" spans="2:12" ht="15.95" customHeight="1" x14ac:dyDescent="0.2">
      <c r="B22" s="4"/>
      <c r="C22" s="35" t="s">
        <v>907</v>
      </c>
      <c r="D22" s="31" t="s">
        <v>603</v>
      </c>
      <c r="E22" s="33">
        <v>0.3333333</v>
      </c>
      <c r="F22" s="34"/>
      <c r="G22" s="95" t="s">
        <v>833</v>
      </c>
      <c r="H22" s="96"/>
      <c r="I22" s="96"/>
      <c r="J22" s="96"/>
      <c r="K22" s="97"/>
      <c r="L22" s="2"/>
    </row>
    <row r="23" spans="2:12" ht="15.95" customHeight="1" x14ac:dyDescent="0.2">
      <c r="B23" s="4"/>
      <c r="C23" s="35" t="s">
        <v>384</v>
      </c>
      <c r="D23" s="31" t="s">
        <v>116</v>
      </c>
      <c r="E23" s="33">
        <f>1/8*16/12*25/20*12/10</f>
        <v>0.25</v>
      </c>
      <c r="F23" s="34"/>
      <c r="G23" s="40"/>
      <c r="H23" s="38"/>
      <c r="I23" s="38"/>
      <c r="J23" s="38"/>
      <c r="K23" s="42"/>
      <c r="L23" s="2"/>
    </row>
    <row r="24" spans="2:12" ht="15.95" customHeight="1" x14ac:dyDescent="0.2">
      <c r="B24" s="4"/>
      <c r="C24" s="35" t="s">
        <v>752</v>
      </c>
      <c r="D24" s="31" t="s">
        <v>785</v>
      </c>
      <c r="E24" s="33">
        <v>0.24305560000000001</v>
      </c>
      <c r="F24" s="34"/>
      <c r="G24" s="95" t="s">
        <v>53</v>
      </c>
      <c r="H24" s="96"/>
      <c r="I24" s="96"/>
      <c r="J24" s="96"/>
      <c r="K24" s="97"/>
      <c r="L24" s="2"/>
    </row>
    <row r="25" spans="2:12" ht="15.95" customHeight="1" x14ac:dyDescent="0.2">
      <c r="B25" s="4"/>
      <c r="C25" s="35" t="s">
        <v>315</v>
      </c>
      <c r="D25" s="31" t="s">
        <v>380</v>
      </c>
      <c r="E25" s="37">
        <f>1/8*16/12*25/20*24/5</f>
        <v>1</v>
      </c>
      <c r="F25" s="34"/>
      <c r="G25" s="40"/>
      <c r="H25" s="38"/>
      <c r="I25" s="38"/>
      <c r="J25" s="38"/>
      <c r="K25" s="42"/>
      <c r="L25" s="2"/>
    </row>
    <row r="26" spans="2:12" ht="15.95" customHeight="1" x14ac:dyDescent="0.2">
      <c r="B26" s="4"/>
      <c r="C26" s="32"/>
      <c r="D26" s="32"/>
      <c r="E26" s="32"/>
      <c r="F26" s="34"/>
      <c r="G26" s="95" t="s">
        <v>275</v>
      </c>
      <c r="H26" s="96"/>
      <c r="I26" s="96"/>
      <c r="J26" s="96"/>
      <c r="K26" s="97"/>
      <c r="L26" s="2"/>
    </row>
    <row r="27" spans="2:12" ht="15.95" customHeight="1" x14ac:dyDescent="0.2">
      <c r="B27" s="4"/>
      <c r="C27" s="32"/>
      <c r="D27" s="32"/>
      <c r="E27" s="32"/>
      <c r="F27" s="34"/>
      <c r="G27" s="40"/>
      <c r="H27" s="38"/>
      <c r="I27" s="38"/>
      <c r="J27" s="38"/>
      <c r="K27" s="42"/>
      <c r="L27" s="2"/>
    </row>
    <row r="28" spans="2:12" ht="15.95" customHeight="1" x14ac:dyDescent="0.2">
      <c r="B28" s="4"/>
      <c r="C28" s="32"/>
      <c r="D28" s="32"/>
      <c r="E28" s="32"/>
      <c r="F28" s="34"/>
      <c r="G28" s="40"/>
      <c r="H28" s="38"/>
      <c r="I28" s="38"/>
      <c r="J28" s="38"/>
      <c r="K28" s="42"/>
      <c r="L28" s="2"/>
    </row>
    <row r="29" spans="2:12" ht="15.95" customHeight="1" x14ac:dyDescent="0.2">
      <c r="B29" s="4"/>
      <c r="C29" s="32"/>
      <c r="D29" s="32"/>
      <c r="E29" s="32"/>
      <c r="F29" s="34"/>
      <c r="G29" s="40"/>
      <c r="H29" s="38"/>
      <c r="I29" s="38"/>
      <c r="J29" s="38"/>
      <c r="K29" s="42"/>
      <c r="L29" s="2"/>
    </row>
    <row r="30" spans="2:12" ht="15.95" customHeight="1" x14ac:dyDescent="0.2">
      <c r="B30" s="4"/>
      <c r="C30" s="32"/>
      <c r="D30" s="32"/>
      <c r="E30" s="32"/>
      <c r="F30" s="34"/>
      <c r="G30" s="43"/>
      <c r="H30" s="44"/>
      <c r="I30" s="44"/>
      <c r="J30" s="44"/>
      <c r="K30" s="45"/>
      <c r="L30" s="2"/>
    </row>
    <row r="31" spans="2:12" ht="15" customHeight="1" x14ac:dyDescent="0.2">
      <c r="B31" s="5"/>
      <c r="C31" s="50"/>
      <c r="D31" s="50"/>
      <c r="E31" s="50"/>
      <c r="F31" s="1"/>
      <c r="G31" s="1"/>
      <c r="H31" s="1"/>
      <c r="I31" s="1"/>
      <c r="J31" s="1"/>
      <c r="K31" s="1"/>
      <c r="L31" s="3"/>
    </row>
  </sheetData>
  <mergeCells count="8">
    <mergeCell ref="G24:K24"/>
    <mergeCell ref="G26:K26"/>
    <mergeCell ref="B1:L2"/>
    <mergeCell ref="C4:E4"/>
    <mergeCell ref="G4:I4"/>
    <mergeCell ref="C18:E18"/>
    <mergeCell ref="G18:I18"/>
    <mergeCell ref="G22:K22"/>
  </mergeCells>
  <phoneticPr fontId="5" type="noConversion"/>
  <pageMargins left="0.98425196850393704" right="7.874015748031496E-2" top="0.6692913385826772" bottom="0.59055118110236215" header="0.5" footer="0.5"/>
  <pageSetup paperSize="9" orientation="landscape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82A8-45C2-4503-8AFF-46B4B6C45BFD}">
  <dimension ref="B1:AC46"/>
  <sheetViews>
    <sheetView workbookViewId="0">
      <pane ySplit="3" topLeftCell="A13" activePane="bottomLeft" state="frozen"/>
      <selection activeCell="BB4011" sqref="BB4011:BE4012"/>
      <selection pane="bottomLeft" activeCell="BB4011" sqref="BB4011:BE4012"/>
    </sheetView>
  </sheetViews>
  <sheetFormatPr defaultRowHeight="12.75" x14ac:dyDescent="0.2"/>
  <cols>
    <col min="1" max="1" width="0.7109375" customWidth="1"/>
    <col min="2" max="2" width="5.28515625" customWidth="1"/>
    <col min="3" max="3" width="32.85546875" customWidth="1"/>
    <col min="4" max="4" width="30" customWidth="1"/>
    <col min="5" max="5" width="6.7109375" customWidth="1"/>
    <col min="6" max="6" width="19" customWidth="1"/>
    <col min="7" max="9" width="18" customWidth="1"/>
    <col min="10" max="10" width="15.85546875" customWidth="1"/>
  </cols>
  <sheetData>
    <row r="1" spans="2:29" ht="24.95" customHeight="1" x14ac:dyDescent="0.2">
      <c r="B1" s="84" t="s">
        <v>577</v>
      </c>
      <c r="C1" s="84"/>
      <c r="D1" s="84"/>
      <c r="E1" s="84"/>
      <c r="F1" s="84"/>
      <c r="G1" s="84"/>
      <c r="H1" s="84"/>
      <c r="I1" s="84"/>
      <c r="J1" s="84"/>
    </row>
    <row r="2" spans="2:29" ht="9.9499999999999993" customHeight="1" x14ac:dyDescent="0.2">
      <c r="B2" s="85"/>
      <c r="C2" s="85"/>
      <c r="D2" s="85"/>
      <c r="E2" s="85"/>
      <c r="F2" s="85"/>
      <c r="G2" s="85"/>
      <c r="H2" s="85"/>
      <c r="I2" s="85"/>
      <c r="J2" s="85"/>
    </row>
    <row r="3" spans="2:29" ht="30.75" customHeight="1" x14ac:dyDescent="0.2">
      <c r="B3" s="14" t="s">
        <v>259</v>
      </c>
      <c r="C3" s="7" t="s">
        <v>922</v>
      </c>
      <c r="D3" s="7" t="s">
        <v>364</v>
      </c>
      <c r="E3" s="7" t="s">
        <v>354</v>
      </c>
      <c r="F3" s="7" t="s">
        <v>925</v>
      </c>
      <c r="G3" s="7" t="s">
        <v>815</v>
      </c>
      <c r="H3" s="7" t="s">
        <v>594</v>
      </c>
      <c r="I3" s="7" t="s">
        <v>70</v>
      </c>
      <c r="J3" s="8" t="s">
        <v>233</v>
      </c>
      <c r="Z3" t="s">
        <v>374</v>
      </c>
      <c r="AA3" t="s">
        <v>439</v>
      </c>
      <c r="AB3" t="s">
        <v>201</v>
      </c>
      <c r="AC3" t="s">
        <v>427</v>
      </c>
    </row>
    <row r="4" spans="2:29" ht="19.7" customHeight="1" x14ac:dyDescent="0.2">
      <c r="B4" s="18" t="s">
        <v>280</v>
      </c>
      <c r="C4" s="19" t="s">
        <v>830</v>
      </c>
      <c r="D4" s="19" t="s">
        <v>549</v>
      </c>
      <c r="E4" s="20" t="s">
        <v>170</v>
      </c>
      <c r="F4" s="21">
        <v>698000</v>
      </c>
      <c r="G4" s="21"/>
      <c r="H4" s="21">
        <v>698000</v>
      </c>
      <c r="I4" s="21"/>
      <c r="J4" s="22" t="s">
        <v>573</v>
      </c>
      <c r="Z4" s="17">
        <v>698000</v>
      </c>
      <c r="AB4" s="17">
        <v>698000</v>
      </c>
    </row>
    <row r="5" spans="2:29" ht="19.7" customHeight="1" x14ac:dyDescent="0.2">
      <c r="B5" s="18" t="s">
        <v>907</v>
      </c>
      <c r="C5" s="19" t="s">
        <v>830</v>
      </c>
      <c r="D5" s="19" t="s">
        <v>771</v>
      </c>
      <c r="E5" s="20" t="s">
        <v>170</v>
      </c>
      <c r="F5" s="21">
        <v>1350000</v>
      </c>
      <c r="G5" s="21"/>
      <c r="H5" s="21">
        <v>1350000</v>
      </c>
      <c r="I5" s="21"/>
      <c r="J5" s="22" t="s">
        <v>573</v>
      </c>
      <c r="Z5" s="17">
        <v>1350000</v>
      </c>
      <c r="AB5" s="17">
        <v>1350000</v>
      </c>
    </row>
    <row r="6" spans="2:29" ht="19.7" customHeight="1" x14ac:dyDescent="0.2">
      <c r="B6" s="18" t="s">
        <v>384</v>
      </c>
      <c r="C6" s="19" t="s">
        <v>148</v>
      </c>
      <c r="D6" s="19" t="s">
        <v>289</v>
      </c>
      <c r="E6" s="20" t="s">
        <v>274</v>
      </c>
      <c r="F6" s="21">
        <v>1237000</v>
      </c>
      <c r="G6" s="21"/>
      <c r="H6" s="21">
        <v>1237000</v>
      </c>
      <c r="I6" s="21"/>
      <c r="J6" s="22" t="s">
        <v>573</v>
      </c>
      <c r="Z6" s="17">
        <v>1237000</v>
      </c>
      <c r="AB6" s="17">
        <v>1237000</v>
      </c>
    </row>
    <row r="7" spans="2:29" ht="19.7" customHeight="1" x14ac:dyDescent="0.2">
      <c r="B7" s="18" t="s">
        <v>752</v>
      </c>
      <c r="C7" s="19" t="s">
        <v>436</v>
      </c>
      <c r="D7" s="19" t="s">
        <v>549</v>
      </c>
      <c r="E7" s="20" t="s">
        <v>170</v>
      </c>
      <c r="F7" s="21">
        <v>18800000</v>
      </c>
      <c r="G7" s="21"/>
      <c r="H7" s="21">
        <v>18800000</v>
      </c>
      <c r="I7" s="21"/>
      <c r="J7" s="22" t="s">
        <v>573</v>
      </c>
      <c r="Z7" s="17">
        <v>18800000</v>
      </c>
      <c r="AB7" s="17">
        <v>18800000</v>
      </c>
    </row>
    <row r="8" spans="2:29" ht="19.7" customHeight="1" x14ac:dyDescent="0.2">
      <c r="B8" s="18" t="s">
        <v>315</v>
      </c>
      <c r="C8" s="19" t="s">
        <v>443</v>
      </c>
      <c r="D8" s="19" t="s">
        <v>962</v>
      </c>
      <c r="E8" s="20" t="s">
        <v>775</v>
      </c>
      <c r="F8" s="21">
        <v>45820000</v>
      </c>
      <c r="G8" s="21"/>
      <c r="H8" s="21"/>
      <c r="I8" s="21">
        <v>45820000</v>
      </c>
      <c r="J8" s="22" t="s">
        <v>962</v>
      </c>
      <c r="Z8" s="17">
        <v>45820000</v>
      </c>
      <c r="AC8" s="17">
        <v>45820000</v>
      </c>
    </row>
    <row r="9" spans="2:29" ht="19.7" customHeight="1" x14ac:dyDescent="0.2">
      <c r="B9" s="18" t="s">
        <v>877</v>
      </c>
      <c r="C9" s="19" t="s">
        <v>817</v>
      </c>
      <c r="D9" s="19" t="s">
        <v>560</v>
      </c>
      <c r="E9" s="20" t="s">
        <v>618</v>
      </c>
      <c r="F9" s="21">
        <v>194700</v>
      </c>
      <c r="G9" s="21"/>
      <c r="H9" s="21"/>
      <c r="I9" s="21">
        <v>194700</v>
      </c>
      <c r="J9" s="22" t="s">
        <v>962</v>
      </c>
      <c r="Z9" s="17">
        <v>194700</v>
      </c>
      <c r="AC9" s="17">
        <v>194700</v>
      </c>
    </row>
    <row r="10" spans="2:29" ht="19.7" customHeight="1" x14ac:dyDescent="0.2">
      <c r="B10" s="18" t="s">
        <v>480</v>
      </c>
      <c r="C10" s="19" t="s">
        <v>256</v>
      </c>
      <c r="D10" s="19" t="s">
        <v>171</v>
      </c>
      <c r="E10" s="20" t="s">
        <v>618</v>
      </c>
      <c r="F10" s="21">
        <v>87800</v>
      </c>
      <c r="G10" s="21"/>
      <c r="H10" s="21"/>
      <c r="I10" s="21">
        <v>87800</v>
      </c>
      <c r="J10" s="22" t="s">
        <v>962</v>
      </c>
      <c r="Z10" s="17">
        <v>87800</v>
      </c>
      <c r="AC10" s="17">
        <v>87800</v>
      </c>
    </row>
    <row r="11" spans="2:29" ht="19.7" customHeight="1" x14ac:dyDescent="0.2">
      <c r="B11" s="18" t="s">
        <v>884</v>
      </c>
      <c r="C11" s="19" t="s">
        <v>268</v>
      </c>
      <c r="D11" s="19" t="s">
        <v>776</v>
      </c>
      <c r="E11" s="20" t="s">
        <v>618</v>
      </c>
      <c r="F11" s="21">
        <v>15800</v>
      </c>
      <c r="G11" s="21"/>
      <c r="H11" s="21"/>
      <c r="I11" s="21">
        <v>15800</v>
      </c>
      <c r="J11" s="22" t="s">
        <v>962</v>
      </c>
      <c r="Z11" s="17">
        <v>15800</v>
      </c>
      <c r="AC11" s="17">
        <v>15800</v>
      </c>
    </row>
    <row r="12" spans="2:29" ht="19.7" customHeight="1" x14ac:dyDescent="0.2">
      <c r="B12" s="18" t="s">
        <v>465</v>
      </c>
      <c r="C12" s="19" t="s">
        <v>800</v>
      </c>
      <c r="D12" s="19" t="s">
        <v>593</v>
      </c>
      <c r="E12" s="20" t="s">
        <v>618</v>
      </c>
      <c r="F12" s="21">
        <v>24000</v>
      </c>
      <c r="G12" s="21"/>
      <c r="H12" s="21"/>
      <c r="I12" s="21">
        <v>24000</v>
      </c>
      <c r="J12" s="22" t="s">
        <v>962</v>
      </c>
      <c r="Z12" s="17">
        <v>24000</v>
      </c>
      <c r="AC12" s="17">
        <v>24000</v>
      </c>
    </row>
    <row r="13" spans="2:29" ht="19.7" customHeight="1" x14ac:dyDescent="0.2">
      <c r="B13" s="18" t="s">
        <v>111</v>
      </c>
      <c r="C13" s="19" t="s">
        <v>391</v>
      </c>
      <c r="D13" s="19" t="s">
        <v>909</v>
      </c>
      <c r="E13" s="20" t="s">
        <v>618</v>
      </c>
      <c r="F13" s="21">
        <v>42800</v>
      </c>
      <c r="G13" s="21"/>
      <c r="H13" s="21"/>
      <c r="I13" s="21">
        <v>42800</v>
      </c>
      <c r="J13" s="22" t="s">
        <v>962</v>
      </c>
      <c r="Z13" s="17">
        <v>42800</v>
      </c>
      <c r="AC13" s="17">
        <v>42800</v>
      </c>
    </row>
    <row r="14" spans="2:29" ht="19.7" customHeight="1" x14ac:dyDescent="0.2">
      <c r="B14" s="18" t="s">
        <v>509</v>
      </c>
      <c r="C14" s="19" t="s">
        <v>703</v>
      </c>
      <c r="D14" s="19" t="s">
        <v>467</v>
      </c>
      <c r="E14" s="20" t="s">
        <v>618</v>
      </c>
      <c r="F14" s="21">
        <v>47200</v>
      </c>
      <c r="G14" s="21"/>
      <c r="H14" s="21"/>
      <c r="I14" s="21">
        <v>47200</v>
      </c>
      <c r="J14" s="22" t="s">
        <v>962</v>
      </c>
      <c r="Z14" s="17">
        <v>47200</v>
      </c>
      <c r="AC14" s="17">
        <v>47200</v>
      </c>
    </row>
    <row r="15" spans="2:29" ht="19.7" customHeight="1" x14ac:dyDescent="0.2">
      <c r="B15" s="18" t="s">
        <v>200</v>
      </c>
      <c r="C15" s="19" t="s">
        <v>959</v>
      </c>
      <c r="D15" s="19" t="s">
        <v>560</v>
      </c>
      <c r="E15" s="20" t="s">
        <v>618</v>
      </c>
      <c r="F15" s="21">
        <v>192200</v>
      </c>
      <c r="G15" s="21"/>
      <c r="H15" s="21"/>
      <c r="I15" s="21">
        <v>192200</v>
      </c>
      <c r="J15" s="22" t="s">
        <v>962</v>
      </c>
      <c r="Z15" s="17">
        <v>192200</v>
      </c>
      <c r="AC15" s="17">
        <v>192200</v>
      </c>
    </row>
    <row r="16" spans="2:29" ht="19.7" customHeight="1" x14ac:dyDescent="0.2">
      <c r="B16" s="18" t="s">
        <v>610</v>
      </c>
      <c r="C16" s="19" t="s">
        <v>539</v>
      </c>
      <c r="D16" s="19" t="s">
        <v>385</v>
      </c>
      <c r="E16" s="20" t="s">
        <v>618</v>
      </c>
      <c r="F16" s="21">
        <v>211200</v>
      </c>
      <c r="G16" s="21"/>
      <c r="H16" s="21"/>
      <c r="I16" s="21">
        <v>211200</v>
      </c>
      <c r="J16" s="22" t="s">
        <v>962</v>
      </c>
      <c r="Z16" s="17">
        <v>211200</v>
      </c>
      <c r="AC16" s="17">
        <v>211200</v>
      </c>
    </row>
    <row r="17" spans="2:29" ht="19.7" customHeight="1" x14ac:dyDescent="0.2">
      <c r="B17" s="18" t="s">
        <v>34</v>
      </c>
      <c r="C17" s="19" t="s">
        <v>455</v>
      </c>
      <c r="D17" s="19" t="s">
        <v>776</v>
      </c>
      <c r="E17" s="20" t="s">
        <v>618</v>
      </c>
      <c r="F17" s="21">
        <v>15700</v>
      </c>
      <c r="G17" s="21"/>
      <c r="H17" s="21"/>
      <c r="I17" s="21">
        <v>15700</v>
      </c>
      <c r="J17" s="22" t="s">
        <v>962</v>
      </c>
      <c r="Z17" s="17">
        <v>15700</v>
      </c>
      <c r="AC17" s="17">
        <v>15700</v>
      </c>
    </row>
    <row r="18" spans="2:29" ht="19.7" customHeight="1" x14ac:dyDescent="0.2">
      <c r="B18" s="18" t="s">
        <v>545</v>
      </c>
      <c r="C18" s="19" t="s">
        <v>605</v>
      </c>
      <c r="D18" s="19" t="s">
        <v>171</v>
      </c>
      <c r="E18" s="20" t="s">
        <v>618</v>
      </c>
      <c r="F18" s="21">
        <v>87200</v>
      </c>
      <c r="G18" s="21"/>
      <c r="H18" s="21"/>
      <c r="I18" s="21">
        <v>87200</v>
      </c>
      <c r="J18" s="22" t="s">
        <v>962</v>
      </c>
      <c r="Z18" s="17">
        <v>87200</v>
      </c>
      <c r="AC18" s="17">
        <v>87200</v>
      </c>
    </row>
    <row r="19" spans="2:29" ht="19.7" customHeight="1" x14ac:dyDescent="0.2">
      <c r="B19" s="18" t="s">
        <v>165</v>
      </c>
      <c r="C19" s="19" t="s">
        <v>453</v>
      </c>
      <c r="D19" s="19" t="s">
        <v>957</v>
      </c>
      <c r="E19" s="20" t="s">
        <v>618</v>
      </c>
      <c r="F19" s="21">
        <v>85400</v>
      </c>
      <c r="G19" s="21"/>
      <c r="H19" s="21"/>
      <c r="I19" s="21">
        <v>85400</v>
      </c>
      <c r="J19" s="22" t="s">
        <v>962</v>
      </c>
      <c r="Z19" s="17">
        <v>85400</v>
      </c>
      <c r="AC19" s="17">
        <v>85400</v>
      </c>
    </row>
    <row r="20" spans="2:29" ht="19.7" customHeight="1" x14ac:dyDescent="0.2">
      <c r="B20" s="18" t="s">
        <v>707</v>
      </c>
      <c r="C20" s="19" t="s">
        <v>106</v>
      </c>
      <c r="D20" s="19" t="s">
        <v>582</v>
      </c>
      <c r="E20" s="20" t="s">
        <v>618</v>
      </c>
      <c r="F20" s="21">
        <v>45600</v>
      </c>
      <c r="G20" s="21"/>
      <c r="H20" s="21"/>
      <c r="I20" s="21">
        <v>45600</v>
      </c>
      <c r="J20" s="22" t="s">
        <v>962</v>
      </c>
      <c r="Z20" s="17">
        <v>45600</v>
      </c>
      <c r="AC20" s="17">
        <v>45600</v>
      </c>
    </row>
    <row r="21" spans="2:29" ht="19.7" customHeight="1" x14ac:dyDescent="0.2">
      <c r="B21" s="18" t="s">
        <v>169</v>
      </c>
      <c r="C21" s="19" t="s">
        <v>442</v>
      </c>
      <c r="D21" s="19" t="s">
        <v>582</v>
      </c>
      <c r="E21" s="20" t="s">
        <v>618</v>
      </c>
      <c r="F21" s="21">
        <v>94000</v>
      </c>
      <c r="G21" s="21"/>
      <c r="H21" s="21"/>
      <c r="I21" s="21">
        <v>94000</v>
      </c>
      <c r="J21" s="22" t="s">
        <v>962</v>
      </c>
      <c r="Z21" s="17">
        <v>94000</v>
      </c>
      <c r="AC21" s="17">
        <v>94000</v>
      </c>
    </row>
    <row r="22" spans="2:29" ht="19.7" customHeight="1" x14ac:dyDescent="0.2">
      <c r="B22" s="18" t="s">
        <v>694</v>
      </c>
      <c r="C22" s="19" t="s">
        <v>211</v>
      </c>
      <c r="D22" s="19" t="s">
        <v>463</v>
      </c>
      <c r="E22" s="20" t="s">
        <v>618</v>
      </c>
      <c r="F22" s="21">
        <v>354800</v>
      </c>
      <c r="G22" s="21"/>
      <c r="H22" s="21"/>
      <c r="I22" s="21">
        <v>354800</v>
      </c>
      <c r="J22" s="22" t="s">
        <v>962</v>
      </c>
      <c r="Z22" s="17">
        <v>354800</v>
      </c>
      <c r="AC22" s="17">
        <v>354800</v>
      </c>
    </row>
    <row r="23" spans="2:29" ht="19.7" customHeight="1" x14ac:dyDescent="0.2">
      <c r="B23" s="18" t="s">
        <v>831</v>
      </c>
      <c r="C23" s="19" t="s">
        <v>923</v>
      </c>
      <c r="D23" s="19" t="s">
        <v>582</v>
      </c>
      <c r="E23" s="20" t="s">
        <v>618</v>
      </c>
      <c r="F23" s="21">
        <v>94000</v>
      </c>
      <c r="G23" s="21"/>
      <c r="H23" s="21"/>
      <c r="I23" s="21">
        <v>94000</v>
      </c>
      <c r="J23" s="22" t="s">
        <v>962</v>
      </c>
      <c r="Z23" s="17">
        <v>94000</v>
      </c>
      <c r="AC23" s="17">
        <v>94000</v>
      </c>
    </row>
    <row r="24" spans="2:29" ht="19.7" customHeight="1" x14ac:dyDescent="0.2">
      <c r="B24" s="18" t="s">
        <v>286</v>
      </c>
      <c r="C24" s="19" t="s">
        <v>838</v>
      </c>
      <c r="D24" s="19" t="s">
        <v>620</v>
      </c>
      <c r="E24" s="20" t="s">
        <v>618</v>
      </c>
      <c r="F24" s="21">
        <v>131400</v>
      </c>
      <c r="G24" s="21"/>
      <c r="H24" s="21"/>
      <c r="I24" s="21">
        <v>131400</v>
      </c>
      <c r="J24" s="22" t="s">
        <v>962</v>
      </c>
      <c r="Z24" s="17">
        <v>131400</v>
      </c>
      <c r="AC24" s="17">
        <v>131400</v>
      </c>
    </row>
    <row r="25" spans="2:29" ht="19.7" customHeight="1" x14ac:dyDescent="0.2">
      <c r="B25" s="18" t="s">
        <v>903</v>
      </c>
      <c r="C25" s="19" t="s">
        <v>120</v>
      </c>
      <c r="D25" s="19" t="s">
        <v>385</v>
      </c>
      <c r="E25" s="20" t="s">
        <v>618</v>
      </c>
      <c r="F25" s="21">
        <v>142600</v>
      </c>
      <c r="G25" s="21"/>
      <c r="H25" s="21"/>
      <c r="I25" s="21">
        <v>142600</v>
      </c>
      <c r="J25" s="22" t="s">
        <v>962</v>
      </c>
      <c r="Z25" s="17">
        <v>142600</v>
      </c>
      <c r="AC25" s="17">
        <v>142600</v>
      </c>
    </row>
    <row r="26" spans="2:29" ht="19.7" customHeight="1" x14ac:dyDescent="0.2">
      <c r="B26" s="18" t="s">
        <v>398</v>
      </c>
      <c r="C26" s="19" t="s">
        <v>225</v>
      </c>
      <c r="D26" s="19" t="s">
        <v>489</v>
      </c>
      <c r="E26" s="20" t="s">
        <v>618</v>
      </c>
      <c r="F26" s="21">
        <v>219800</v>
      </c>
      <c r="G26" s="21"/>
      <c r="H26" s="21"/>
      <c r="I26" s="21">
        <v>219800</v>
      </c>
      <c r="J26" s="22" t="s">
        <v>962</v>
      </c>
      <c r="Z26" s="17">
        <v>219800</v>
      </c>
      <c r="AC26" s="17">
        <v>219800</v>
      </c>
    </row>
    <row r="27" spans="2:29" ht="19.7" customHeight="1" x14ac:dyDescent="0.2">
      <c r="B27" s="18" t="s">
        <v>740</v>
      </c>
      <c r="C27" s="19" t="s">
        <v>529</v>
      </c>
      <c r="D27" s="19" t="s">
        <v>582</v>
      </c>
      <c r="E27" s="20" t="s">
        <v>618</v>
      </c>
      <c r="F27" s="21">
        <v>45100</v>
      </c>
      <c r="G27" s="21"/>
      <c r="H27" s="21"/>
      <c r="I27" s="21">
        <v>45100</v>
      </c>
      <c r="J27" s="22" t="s">
        <v>962</v>
      </c>
      <c r="Z27" s="17">
        <v>45100</v>
      </c>
      <c r="AC27" s="17">
        <v>45100</v>
      </c>
    </row>
    <row r="28" spans="2:29" ht="19.7" customHeight="1" x14ac:dyDescent="0.2">
      <c r="B28" s="18" t="s">
        <v>319</v>
      </c>
      <c r="C28" s="19" t="s">
        <v>858</v>
      </c>
      <c r="D28" s="19" t="s">
        <v>582</v>
      </c>
      <c r="E28" s="20" t="s">
        <v>618</v>
      </c>
      <c r="F28" s="21">
        <v>94000</v>
      </c>
      <c r="G28" s="21"/>
      <c r="H28" s="21"/>
      <c r="I28" s="21">
        <v>94000</v>
      </c>
      <c r="J28" s="22" t="s">
        <v>962</v>
      </c>
      <c r="Z28" s="17">
        <v>94000</v>
      </c>
      <c r="AC28" s="17">
        <v>94000</v>
      </c>
    </row>
    <row r="29" spans="2:29" ht="19.7" customHeight="1" x14ac:dyDescent="0.2">
      <c r="B29" s="18" t="s">
        <v>864</v>
      </c>
      <c r="C29" s="19" t="s">
        <v>394</v>
      </c>
      <c r="D29" s="19" t="s">
        <v>582</v>
      </c>
      <c r="E29" s="20" t="s">
        <v>618</v>
      </c>
      <c r="F29" s="21">
        <v>94000</v>
      </c>
      <c r="G29" s="21"/>
      <c r="H29" s="21"/>
      <c r="I29" s="21">
        <v>94000</v>
      </c>
      <c r="J29" s="22" t="s">
        <v>962</v>
      </c>
      <c r="Z29" s="17">
        <v>94000</v>
      </c>
      <c r="AC29" s="17">
        <v>94000</v>
      </c>
    </row>
    <row r="30" spans="2:29" ht="19.7" customHeight="1" x14ac:dyDescent="0.2">
      <c r="B30" s="18" t="s">
        <v>482</v>
      </c>
      <c r="C30" s="19" t="s">
        <v>298</v>
      </c>
      <c r="D30" s="19" t="s">
        <v>620</v>
      </c>
      <c r="E30" s="20" t="s">
        <v>618</v>
      </c>
      <c r="F30" s="21">
        <v>131400</v>
      </c>
      <c r="G30" s="21"/>
      <c r="H30" s="21"/>
      <c r="I30" s="21">
        <v>131400</v>
      </c>
      <c r="J30" s="22" t="s">
        <v>962</v>
      </c>
      <c r="Z30" s="17">
        <v>131400</v>
      </c>
      <c r="AC30" s="17">
        <v>131400</v>
      </c>
    </row>
    <row r="31" spans="2:29" ht="19.7" customHeight="1" x14ac:dyDescent="0.2">
      <c r="B31" s="18" t="s">
        <v>895</v>
      </c>
      <c r="C31" s="19" t="s">
        <v>649</v>
      </c>
      <c r="D31" s="19" t="s">
        <v>385</v>
      </c>
      <c r="E31" s="20" t="s">
        <v>618</v>
      </c>
      <c r="F31" s="21">
        <v>142600</v>
      </c>
      <c r="G31" s="21"/>
      <c r="H31" s="21"/>
      <c r="I31" s="21">
        <v>142600</v>
      </c>
      <c r="J31" s="22" t="s">
        <v>962</v>
      </c>
      <c r="Z31" s="17">
        <v>142600</v>
      </c>
      <c r="AC31" s="17">
        <v>142600</v>
      </c>
    </row>
    <row r="32" spans="2:29" ht="19.7" customHeight="1" x14ac:dyDescent="0.2">
      <c r="B32" s="23" t="s">
        <v>464</v>
      </c>
      <c r="C32" s="24" t="s">
        <v>561</v>
      </c>
      <c r="D32" s="24" t="s">
        <v>832</v>
      </c>
      <c r="E32" s="25" t="s">
        <v>618</v>
      </c>
      <c r="F32" s="11">
        <v>163800</v>
      </c>
      <c r="G32" s="11"/>
      <c r="H32" s="11"/>
      <c r="I32" s="11">
        <v>163800</v>
      </c>
      <c r="J32" s="26" t="s">
        <v>962</v>
      </c>
      <c r="Z32" s="17">
        <v>163800</v>
      </c>
      <c r="AC32" s="17">
        <v>163800</v>
      </c>
    </row>
    <row r="33" spans="2:29" ht="19.7" customHeight="1" x14ac:dyDescent="0.2">
      <c r="B33" s="18" t="s">
        <v>586</v>
      </c>
      <c r="C33" s="19" t="s">
        <v>866</v>
      </c>
      <c r="D33" s="19" t="s">
        <v>832</v>
      </c>
      <c r="E33" s="20" t="s">
        <v>618</v>
      </c>
      <c r="F33" s="21">
        <v>33500</v>
      </c>
      <c r="G33" s="21"/>
      <c r="H33" s="21"/>
      <c r="I33" s="21">
        <v>33500</v>
      </c>
      <c r="J33" s="22" t="s">
        <v>962</v>
      </c>
      <c r="Z33" s="17">
        <v>33500</v>
      </c>
      <c r="AC33" s="17">
        <v>33500</v>
      </c>
    </row>
    <row r="34" spans="2:29" ht="19.7" customHeight="1" x14ac:dyDescent="0.2">
      <c r="B34" s="18" t="s">
        <v>46</v>
      </c>
      <c r="C34" s="19" t="s">
        <v>124</v>
      </c>
      <c r="D34" s="19" t="s">
        <v>16</v>
      </c>
      <c r="E34" s="20" t="s">
        <v>618</v>
      </c>
      <c r="F34" s="21">
        <v>78300</v>
      </c>
      <c r="G34" s="21"/>
      <c r="H34" s="21"/>
      <c r="I34" s="21">
        <v>78300</v>
      </c>
      <c r="J34" s="22" t="s">
        <v>962</v>
      </c>
      <c r="Z34" s="17">
        <v>78300</v>
      </c>
      <c r="AC34" s="17">
        <v>78300</v>
      </c>
    </row>
    <row r="35" spans="2:29" ht="19.7" customHeight="1" x14ac:dyDescent="0.2">
      <c r="B35" s="18" t="s">
        <v>650</v>
      </c>
      <c r="C35" s="19" t="s">
        <v>564</v>
      </c>
      <c r="D35" s="19" t="s">
        <v>962</v>
      </c>
      <c r="E35" s="20" t="s">
        <v>775</v>
      </c>
      <c r="F35" s="21">
        <v>39200000</v>
      </c>
      <c r="G35" s="21"/>
      <c r="H35" s="21">
        <v>39200000</v>
      </c>
      <c r="I35" s="21"/>
      <c r="J35" s="22" t="s">
        <v>573</v>
      </c>
      <c r="Z35" s="17">
        <v>39200000</v>
      </c>
      <c r="AB35" s="17">
        <v>39200000</v>
      </c>
    </row>
    <row r="36" spans="2:29" ht="19.7" customHeight="1" x14ac:dyDescent="0.2">
      <c r="B36" s="18" t="s">
        <v>147</v>
      </c>
      <c r="C36" s="19" t="s">
        <v>633</v>
      </c>
      <c r="D36" s="19" t="s">
        <v>962</v>
      </c>
      <c r="E36" s="20" t="s">
        <v>775</v>
      </c>
      <c r="F36" s="21">
        <v>9300000</v>
      </c>
      <c r="G36" s="21"/>
      <c r="H36" s="21">
        <v>9300000</v>
      </c>
      <c r="I36" s="21"/>
      <c r="J36" s="22" t="s">
        <v>573</v>
      </c>
      <c r="Z36" s="17">
        <v>9300000</v>
      </c>
      <c r="AB36" s="17">
        <v>9300000</v>
      </c>
    </row>
    <row r="37" spans="2:29" ht="19.7" customHeight="1" x14ac:dyDescent="0.2">
      <c r="B37" s="18" t="s">
        <v>502</v>
      </c>
      <c r="C37" s="19" t="s">
        <v>599</v>
      </c>
      <c r="D37" s="19" t="s">
        <v>962</v>
      </c>
      <c r="E37" s="20" t="s">
        <v>775</v>
      </c>
      <c r="F37" s="21">
        <v>43200000</v>
      </c>
      <c r="G37" s="21"/>
      <c r="H37" s="21"/>
      <c r="I37" s="21">
        <v>43200000</v>
      </c>
      <c r="J37" s="22" t="s">
        <v>573</v>
      </c>
      <c r="Z37" s="17">
        <v>43200000</v>
      </c>
      <c r="AC37" s="17">
        <v>43200000</v>
      </c>
    </row>
    <row r="38" spans="2:29" ht="19.7" customHeight="1" x14ac:dyDescent="0.2">
      <c r="B38" s="18" t="s">
        <v>82</v>
      </c>
      <c r="C38" s="19" t="s">
        <v>434</v>
      </c>
      <c r="D38" s="19" t="s">
        <v>37</v>
      </c>
      <c r="E38" s="20" t="s">
        <v>170</v>
      </c>
      <c r="F38" s="21">
        <v>1520000</v>
      </c>
      <c r="G38" s="21"/>
      <c r="H38" s="21">
        <v>1520000</v>
      </c>
      <c r="I38" s="21"/>
      <c r="J38" s="22" t="s">
        <v>573</v>
      </c>
      <c r="Z38" s="17">
        <v>1520000</v>
      </c>
      <c r="AB38" s="17">
        <v>1520000</v>
      </c>
    </row>
    <row r="39" spans="2:29" ht="19.7" customHeight="1" x14ac:dyDescent="0.2">
      <c r="B39" s="18" t="s">
        <v>627</v>
      </c>
      <c r="C39" s="19" t="s">
        <v>434</v>
      </c>
      <c r="D39" s="19" t="s">
        <v>609</v>
      </c>
      <c r="E39" s="20" t="s">
        <v>170</v>
      </c>
      <c r="F39" s="21">
        <v>2350000</v>
      </c>
      <c r="G39" s="21"/>
      <c r="H39" s="21">
        <v>2350000</v>
      </c>
      <c r="I39" s="21"/>
      <c r="J39" s="22" t="s">
        <v>573</v>
      </c>
      <c r="Z39" s="17">
        <v>2350000</v>
      </c>
      <c r="AB39" s="17">
        <v>2350000</v>
      </c>
    </row>
    <row r="40" spans="2:29" ht="19.7" customHeight="1" x14ac:dyDescent="0.2">
      <c r="B40" s="18" t="s">
        <v>252</v>
      </c>
      <c r="C40" s="19" t="s">
        <v>580</v>
      </c>
      <c r="D40" s="19" t="s">
        <v>653</v>
      </c>
      <c r="E40" s="20" t="s">
        <v>775</v>
      </c>
      <c r="F40" s="21">
        <v>705440000</v>
      </c>
      <c r="G40" s="21">
        <v>398423600</v>
      </c>
      <c r="H40" s="21">
        <v>193679600</v>
      </c>
      <c r="I40" s="21">
        <v>113336800</v>
      </c>
      <c r="J40" s="22" t="s">
        <v>573</v>
      </c>
      <c r="Z40" s="17">
        <v>705440000</v>
      </c>
      <c r="AA40" s="17">
        <v>398423600</v>
      </c>
      <c r="AB40" s="17">
        <v>193679600</v>
      </c>
      <c r="AC40" s="17">
        <v>113336800</v>
      </c>
    </row>
    <row r="41" spans="2:29" ht="19.7" customHeight="1" x14ac:dyDescent="0.2">
      <c r="B41" s="18" t="s">
        <v>642</v>
      </c>
      <c r="C41" s="19" t="s">
        <v>235</v>
      </c>
      <c r="D41" s="19" t="s">
        <v>962</v>
      </c>
      <c r="E41" s="20" t="s">
        <v>775</v>
      </c>
      <c r="F41" s="21">
        <v>57656846</v>
      </c>
      <c r="G41" s="21"/>
      <c r="H41" s="21"/>
      <c r="I41" s="21">
        <v>57656846</v>
      </c>
      <c r="J41" s="22" t="s">
        <v>962</v>
      </c>
      <c r="Z41" s="17">
        <v>57656846</v>
      </c>
      <c r="AC41" s="17">
        <v>57656846</v>
      </c>
    </row>
    <row r="42" spans="2:29" ht="19.7" customHeight="1" x14ac:dyDescent="0.2">
      <c r="B42" s="18" t="s">
        <v>223</v>
      </c>
      <c r="C42" s="19" t="s">
        <v>908</v>
      </c>
      <c r="D42" s="19" t="s">
        <v>962</v>
      </c>
      <c r="E42" s="20" t="s">
        <v>962</v>
      </c>
      <c r="F42" s="21">
        <v>1050000</v>
      </c>
      <c r="G42" s="21"/>
      <c r="H42" s="21"/>
      <c r="I42" s="21">
        <v>1050000</v>
      </c>
      <c r="J42" s="22" t="s">
        <v>962</v>
      </c>
      <c r="Z42" s="17">
        <v>1050000</v>
      </c>
      <c r="AC42" s="17">
        <v>1050000</v>
      </c>
    </row>
    <row r="43" spans="2:29" ht="19.7" customHeight="1" x14ac:dyDescent="0.2">
      <c r="B43" s="18" t="s">
        <v>353</v>
      </c>
      <c r="C43" s="19" t="s">
        <v>799</v>
      </c>
      <c r="D43" s="19" t="s">
        <v>962</v>
      </c>
      <c r="E43" s="20" t="s">
        <v>962</v>
      </c>
      <c r="F43" s="21">
        <v>600000</v>
      </c>
      <c r="G43" s="21"/>
      <c r="H43" s="21"/>
      <c r="I43" s="21">
        <v>600000</v>
      </c>
      <c r="J43" s="22" t="s">
        <v>962</v>
      </c>
      <c r="Z43" s="17">
        <v>600000</v>
      </c>
      <c r="AC43" s="17">
        <v>600000</v>
      </c>
    </row>
    <row r="44" spans="2:29" ht="19.7" customHeight="1" x14ac:dyDescent="0.2">
      <c r="B44" s="18" t="s">
        <v>773</v>
      </c>
      <c r="C44" s="19" t="s">
        <v>299</v>
      </c>
      <c r="D44" s="19" t="s">
        <v>340</v>
      </c>
      <c r="E44" s="20" t="s">
        <v>962</v>
      </c>
      <c r="F44" s="21">
        <v>4080000</v>
      </c>
      <c r="G44" s="21"/>
      <c r="H44" s="21"/>
      <c r="I44" s="21">
        <v>4080000</v>
      </c>
      <c r="J44" s="22" t="s">
        <v>962</v>
      </c>
      <c r="Z44" s="17">
        <v>4080000</v>
      </c>
      <c r="AC44" s="17">
        <v>4080000</v>
      </c>
    </row>
    <row r="45" spans="2:29" ht="19.7" customHeight="1" x14ac:dyDescent="0.2">
      <c r="B45" s="23" t="s">
        <v>456</v>
      </c>
      <c r="C45" s="24" t="s">
        <v>588</v>
      </c>
      <c r="D45" s="24" t="s">
        <v>702</v>
      </c>
      <c r="E45" s="25" t="s">
        <v>962</v>
      </c>
      <c r="F45" s="11">
        <v>2450000</v>
      </c>
      <c r="G45" s="11"/>
      <c r="H45" s="11"/>
      <c r="I45" s="11">
        <v>2450000</v>
      </c>
      <c r="J45" s="26" t="s">
        <v>962</v>
      </c>
      <c r="Z45" s="17">
        <v>2450000</v>
      </c>
      <c r="AC45" s="17">
        <v>2450000</v>
      </c>
    </row>
    <row r="46" spans="2:29" x14ac:dyDescent="0.2">
      <c r="B46" s="13"/>
      <c r="C46" s="13"/>
      <c r="D46" s="13"/>
      <c r="E46" s="13"/>
      <c r="F46" s="13"/>
      <c r="G46" s="13"/>
      <c r="H46" s="13"/>
      <c r="I46" s="13"/>
      <c r="J46" s="13"/>
    </row>
  </sheetData>
  <mergeCells count="1">
    <mergeCell ref="B1:J2"/>
  </mergeCells>
  <phoneticPr fontId="5" type="noConversion"/>
  <pageMargins left="0.98425196850393704" right="7.874015748031496E-2" top="0.6692913385826772" bottom="0.59055118110236215" header="0.5" footer="0.5"/>
  <pageSetup paperSize="9" scale="80" orientation="landscape" copies="0"/>
  <headerFooter alignWithMargins="0"/>
  <rowBreaks count="1" manualBreakCount="1">
    <brk id="32" min="2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F1107-4016-4643-91B7-920CAB2EBA74}">
  <dimension ref="B1:AC174"/>
  <sheetViews>
    <sheetView workbookViewId="0">
      <pane ySplit="4" topLeftCell="A92" activePane="bottomLeft" state="frozen"/>
      <selection activeCell="BB4011" sqref="BB4011:BE4012"/>
      <selection pane="bottomLeft" activeCell="BB4011" sqref="BB4011:BE4012"/>
    </sheetView>
  </sheetViews>
  <sheetFormatPr defaultRowHeight="12.75" x14ac:dyDescent="0.2"/>
  <cols>
    <col min="1" max="1" width="0.7109375" customWidth="1"/>
    <col min="2" max="2" width="4.140625" customWidth="1"/>
    <col min="3" max="3" width="23.42578125" customWidth="1"/>
    <col min="4" max="4" width="20" customWidth="1"/>
    <col min="5" max="5" width="5" customWidth="1"/>
    <col min="6" max="6" width="13.85546875" customWidth="1"/>
    <col min="7" max="7" width="8.28515625" customWidth="1"/>
    <col min="8" max="8" width="8.85546875" customWidth="1"/>
    <col min="9" max="11" width="7.42578125" customWidth="1"/>
    <col min="12" max="12" width="8.7109375" customWidth="1"/>
    <col min="13" max="17" width="7.42578125" customWidth="1"/>
    <col min="18" max="18" width="8.85546875" customWidth="1"/>
    <col min="19" max="19" width="8.140625" customWidth="1"/>
  </cols>
  <sheetData>
    <row r="1" spans="2:29" ht="24.95" customHeight="1" x14ac:dyDescent="0.2">
      <c r="B1" s="84" t="s">
        <v>331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2:29" ht="9.9499999999999993" customHeight="1" x14ac:dyDescent="0.2"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2:29" ht="15.4" customHeight="1" x14ac:dyDescent="0.2">
      <c r="B3" s="99" t="s">
        <v>259</v>
      </c>
      <c r="C3" s="101" t="s">
        <v>922</v>
      </c>
      <c r="D3" s="101" t="s">
        <v>754</v>
      </c>
      <c r="E3" s="101" t="s">
        <v>354</v>
      </c>
      <c r="F3" s="103" t="s">
        <v>450</v>
      </c>
      <c r="G3" s="104"/>
      <c r="H3" s="103" t="s">
        <v>913</v>
      </c>
      <c r="I3" s="104"/>
      <c r="J3" s="103" t="s">
        <v>726</v>
      </c>
      <c r="K3" s="104"/>
      <c r="L3" s="103" t="s">
        <v>123</v>
      </c>
      <c r="M3" s="104"/>
      <c r="N3" s="103" t="s">
        <v>310</v>
      </c>
      <c r="O3" s="104"/>
      <c r="P3" s="103" t="s">
        <v>270</v>
      </c>
      <c r="Q3" s="104"/>
      <c r="R3" s="101" t="s">
        <v>796</v>
      </c>
      <c r="S3" s="105" t="s">
        <v>173</v>
      </c>
      <c r="Z3" t="s">
        <v>604</v>
      </c>
      <c r="AA3" t="s">
        <v>688</v>
      </c>
      <c r="AB3" t="s">
        <v>946</v>
      </c>
      <c r="AC3" t="s">
        <v>648</v>
      </c>
    </row>
    <row r="4" spans="2:29" ht="19.7" customHeight="1" x14ac:dyDescent="0.2">
      <c r="B4" s="100"/>
      <c r="C4" s="102"/>
      <c r="D4" s="102"/>
      <c r="E4" s="102"/>
      <c r="F4" s="16" t="s">
        <v>3</v>
      </c>
      <c r="G4" s="15" t="s">
        <v>836</v>
      </c>
      <c r="H4" s="16" t="s">
        <v>3</v>
      </c>
      <c r="I4" s="15" t="s">
        <v>836</v>
      </c>
      <c r="J4" s="16" t="s">
        <v>3</v>
      </c>
      <c r="K4" s="15" t="s">
        <v>836</v>
      </c>
      <c r="L4" s="16" t="s">
        <v>3</v>
      </c>
      <c r="M4" s="15" t="s">
        <v>836</v>
      </c>
      <c r="N4" s="16" t="s">
        <v>3</v>
      </c>
      <c r="O4" s="15" t="s">
        <v>836</v>
      </c>
      <c r="P4" s="16" t="s">
        <v>3</v>
      </c>
      <c r="Q4" s="15" t="s">
        <v>836</v>
      </c>
      <c r="R4" s="102"/>
      <c r="S4" s="106"/>
    </row>
    <row r="5" spans="2:29" ht="19.7" customHeight="1" x14ac:dyDescent="0.2">
      <c r="B5" s="18" t="s">
        <v>280</v>
      </c>
      <c r="C5" s="19" t="s">
        <v>780</v>
      </c>
      <c r="D5" s="19" t="s">
        <v>962</v>
      </c>
      <c r="E5" s="20" t="s">
        <v>274</v>
      </c>
      <c r="F5" s="27">
        <v>223000</v>
      </c>
      <c r="G5" s="19" t="s">
        <v>962</v>
      </c>
      <c r="H5" s="27"/>
      <c r="I5" s="19" t="s">
        <v>962</v>
      </c>
      <c r="J5" s="27"/>
      <c r="K5" s="19" t="s">
        <v>962</v>
      </c>
      <c r="L5" s="27"/>
      <c r="M5" s="19" t="s">
        <v>962</v>
      </c>
      <c r="N5" s="27"/>
      <c r="O5" s="19" t="s">
        <v>962</v>
      </c>
      <c r="P5" s="27"/>
      <c r="Q5" s="19" t="s">
        <v>962</v>
      </c>
      <c r="R5" s="21">
        <f t="shared" ref="R5:R36" si="0">MIN(F5,H5,J5,L5,N5,P5)</f>
        <v>223000</v>
      </c>
      <c r="S5" s="22" t="s">
        <v>962</v>
      </c>
      <c r="Z5" s="17">
        <v>223000</v>
      </c>
    </row>
    <row r="6" spans="2:29" ht="19.7" customHeight="1" x14ac:dyDescent="0.2">
      <c r="B6" s="18" t="s">
        <v>907</v>
      </c>
      <c r="C6" s="19" t="s">
        <v>623</v>
      </c>
      <c r="D6" s="19" t="s">
        <v>68</v>
      </c>
      <c r="E6" s="20" t="s">
        <v>517</v>
      </c>
      <c r="F6" s="27">
        <v>5</v>
      </c>
      <c r="G6" s="19" t="s">
        <v>962</v>
      </c>
      <c r="H6" s="27"/>
      <c r="I6" s="19" t="s">
        <v>962</v>
      </c>
      <c r="J6" s="27"/>
      <c r="K6" s="19" t="s">
        <v>962</v>
      </c>
      <c r="L6" s="27"/>
      <c r="M6" s="19" t="s">
        <v>962</v>
      </c>
      <c r="N6" s="27"/>
      <c r="O6" s="19" t="s">
        <v>962</v>
      </c>
      <c r="P6" s="27"/>
      <c r="Q6" s="19" t="s">
        <v>962</v>
      </c>
      <c r="R6" s="21">
        <f t="shared" si="0"/>
        <v>5</v>
      </c>
      <c r="S6" s="22" t="s">
        <v>962</v>
      </c>
      <c r="Z6" s="17">
        <v>5</v>
      </c>
    </row>
    <row r="7" spans="2:29" ht="19.7" customHeight="1" x14ac:dyDescent="0.2">
      <c r="B7" s="18" t="s">
        <v>384</v>
      </c>
      <c r="C7" s="19" t="s">
        <v>334</v>
      </c>
      <c r="D7" s="19" t="s">
        <v>645</v>
      </c>
      <c r="E7" s="20" t="s">
        <v>274</v>
      </c>
      <c r="F7" s="27">
        <v>159000</v>
      </c>
      <c r="G7" s="19" t="s">
        <v>962</v>
      </c>
      <c r="H7" s="27"/>
      <c r="I7" s="19" t="s">
        <v>962</v>
      </c>
      <c r="J7" s="27"/>
      <c r="K7" s="19" t="s">
        <v>962</v>
      </c>
      <c r="L7" s="27"/>
      <c r="M7" s="19" t="s">
        <v>962</v>
      </c>
      <c r="N7" s="27"/>
      <c r="O7" s="19" t="s">
        <v>962</v>
      </c>
      <c r="P7" s="27"/>
      <c r="Q7" s="19" t="s">
        <v>962</v>
      </c>
      <c r="R7" s="21">
        <f t="shared" si="0"/>
        <v>159000</v>
      </c>
      <c r="S7" s="22" t="s">
        <v>962</v>
      </c>
      <c r="Z7" s="17">
        <v>159000</v>
      </c>
    </row>
    <row r="8" spans="2:29" ht="19.7" customHeight="1" x14ac:dyDescent="0.2">
      <c r="B8" s="18" t="s">
        <v>752</v>
      </c>
      <c r="C8" s="19" t="s">
        <v>447</v>
      </c>
      <c r="D8" s="19" t="s">
        <v>506</v>
      </c>
      <c r="E8" s="20" t="s">
        <v>596</v>
      </c>
      <c r="F8" s="27">
        <v>6000</v>
      </c>
      <c r="G8" s="19" t="s">
        <v>962</v>
      </c>
      <c r="H8" s="27"/>
      <c r="I8" s="19" t="s">
        <v>962</v>
      </c>
      <c r="J8" s="27"/>
      <c r="K8" s="19" t="s">
        <v>962</v>
      </c>
      <c r="L8" s="27"/>
      <c r="M8" s="19" t="s">
        <v>962</v>
      </c>
      <c r="N8" s="27"/>
      <c r="O8" s="19" t="s">
        <v>962</v>
      </c>
      <c r="P8" s="27"/>
      <c r="Q8" s="19" t="s">
        <v>962</v>
      </c>
      <c r="R8" s="21">
        <f t="shared" si="0"/>
        <v>6000</v>
      </c>
      <c r="S8" s="22" t="s">
        <v>962</v>
      </c>
      <c r="Z8" s="17">
        <v>6000</v>
      </c>
    </row>
    <row r="9" spans="2:29" ht="19.7" customHeight="1" x14ac:dyDescent="0.2">
      <c r="B9" s="18" t="s">
        <v>315</v>
      </c>
      <c r="C9" s="19" t="s">
        <v>276</v>
      </c>
      <c r="D9" s="19" t="s">
        <v>739</v>
      </c>
      <c r="E9" s="20" t="s">
        <v>579</v>
      </c>
      <c r="F9" s="27">
        <v>138600</v>
      </c>
      <c r="G9" s="19" t="s">
        <v>962</v>
      </c>
      <c r="H9" s="27"/>
      <c r="I9" s="19" t="s">
        <v>962</v>
      </c>
      <c r="J9" s="27"/>
      <c r="K9" s="19" t="s">
        <v>962</v>
      </c>
      <c r="L9" s="27"/>
      <c r="M9" s="19" t="s">
        <v>962</v>
      </c>
      <c r="N9" s="27"/>
      <c r="O9" s="19" t="s">
        <v>962</v>
      </c>
      <c r="P9" s="27"/>
      <c r="Q9" s="19" t="s">
        <v>962</v>
      </c>
      <c r="R9" s="21">
        <f t="shared" si="0"/>
        <v>138600</v>
      </c>
      <c r="S9" s="22" t="s">
        <v>962</v>
      </c>
      <c r="Z9" s="17">
        <v>138600</v>
      </c>
    </row>
    <row r="10" spans="2:29" ht="19.7" customHeight="1" x14ac:dyDescent="0.2">
      <c r="B10" s="18" t="s">
        <v>877</v>
      </c>
      <c r="C10" s="19" t="s">
        <v>816</v>
      </c>
      <c r="D10" s="19" t="s">
        <v>803</v>
      </c>
      <c r="E10" s="20" t="s">
        <v>569</v>
      </c>
      <c r="F10" s="27">
        <v>630</v>
      </c>
      <c r="G10" s="19" t="s">
        <v>962</v>
      </c>
      <c r="H10" s="27"/>
      <c r="I10" s="19" t="s">
        <v>962</v>
      </c>
      <c r="J10" s="27"/>
      <c r="K10" s="19" t="s">
        <v>962</v>
      </c>
      <c r="L10" s="27"/>
      <c r="M10" s="19" t="s">
        <v>962</v>
      </c>
      <c r="N10" s="27"/>
      <c r="O10" s="19" t="s">
        <v>962</v>
      </c>
      <c r="P10" s="27"/>
      <c r="Q10" s="19" t="s">
        <v>962</v>
      </c>
      <c r="R10" s="21">
        <f t="shared" si="0"/>
        <v>630</v>
      </c>
      <c r="S10" s="22" t="s">
        <v>962</v>
      </c>
      <c r="Z10" s="17">
        <v>630</v>
      </c>
    </row>
    <row r="11" spans="2:29" ht="19.7" customHeight="1" x14ac:dyDescent="0.2">
      <c r="B11" s="18" t="s">
        <v>480</v>
      </c>
      <c r="C11" s="19" t="s">
        <v>938</v>
      </c>
      <c r="D11" s="19" t="s">
        <v>426</v>
      </c>
      <c r="E11" s="20" t="s">
        <v>569</v>
      </c>
      <c r="F11" s="27">
        <v>220</v>
      </c>
      <c r="G11" s="19" t="s">
        <v>962</v>
      </c>
      <c r="H11" s="27"/>
      <c r="I11" s="19" t="s">
        <v>962</v>
      </c>
      <c r="J11" s="27"/>
      <c r="K11" s="19" t="s">
        <v>962</v>
      </c>
      <c r="L11" s="27"/>
      <c r="M11" s="19" t="s">
        <v>962</v>
      </c>
      <c r="N11" s="27"/>
      <c r="O11" s="19" t="s">
        <v>962</v>
      </c>
      <c r="P11" s="27"/>
      <c r="Q11" s="19" t="s">
        <v>962</v>
      </c>
      <c r="R11" s="21">
        <f t="shared" si="0"/>
        <v>220</v>
      </c>
      <c r="S11" s="22" t="s">
        <v>962</v>
      </c>
      <c r="Z11" s="17">
        <v>220</v>
      </c>
    </row>
    <row r="12" spans="2:29" ht="19.7" customHeight="1" x14ac:dyDescent="0.2">
      <c r="B12" s="18" t="s">
        <v>884</v>
      </c>
      <c r="C12" s="19" t="s">
        <v>894</v>
      </c>
      <c r="D12" s="19" t="s">
        <v>495</v>
      </c>
      <c r="E12" s="20" t="s">
        <v>695</v>
      </c>
      <c r="F12" s="27">
        <v>27000</v>
      </c>
      <c r="G12" s="19" t="s">
        <v>962</v>
      </c>
      <c r="H12" s="27"/>
      <c r="I12" s="19" t="s">
        <v>962</v>
      </c>
      <c r="J12" s="27"/>
      <c r="K12" s="19" t="s">
        <v>962</v>
      </c>
      <c r="L12" s="27"/>
      <c r="M12" s="19" t="s">
        <v>962</v>
      </c>
      <c r="N12" s="27"/>
      <c r="O12" s="19" t="s">
        <v>962</v>
      </c>
      <c r="P12" s="27"/>
      <c r="Q12" s="19" t="s">
        <v>962</v>
      </c>
      <c r="R12" s="21">
        <f t="shared" si="0"/>
        <v>27000</v>
      </c>
      <c r="S12" s="22" t="s">
        <v>962</v>
      </c>
      <c r="Z12" s="17">
        <v>27000</v>
      </c>
    </row>
    <row r="13" spans="2:29" ht="19.7" customHeight="1" x14ac:dyDescent="0.2">
      <c r="B13" s="18" t="s">
        <v>465</v>
      </c>
      <c r="C13" s="19" t="s">
        <v>624</v>
      </c>
      <c r="D13" s="19" t="s">
        <v>904</v>
      </c>
      <c r="E13" s="20" t="s">
        <v>695</v>
      </c>
      <c r="F13" s="27">
        <v>31000</v>
      </c>
      <c r="G13" s="19" t="s">
        <v>962</v>
      </c>
      <c r="H13" s="27"/>
      <c r="I13" s="19" t="s">
        <v>962</v>
      </c>
      <c r="J13" s="27"/>
      <c r="K13" s="19" t="s">
        <v>962</v>
      </c>
      <c r="L13" s="27"/>
      <c r="M13" s="19" t="s">
        <v>962</v>
      </c>
      <c r="N13" s="27"/>
      <c r="O13" s="19" t="s">
        <v>962</v>
      </c>
      <c r="P13" s="27"/>
      <c r="Q13" s="19" t="s">
        <v>962</v>
      </c>
      <c r="R13" s="21">
        <f t="shared" si="0"/>
        <v>31000</v>
      </c>
      <c r="S13" s="22" t="s">
        <v>962</v>
      </c>
      <c r="Z13" s="17">
        <v>31000</v>
      </c>
    </row>
    <row r="14" spans="2:29" ht="19.7" customHeight="1" x14ac:dyDescent="0.2">
      <c r="B14" s="18" t="s">
        <v>111</v>
      </c>
      <c r="C14" s="19" t="s">
        <v>742</v>
      </c>
      <c r="D14" s="19" t="s">
        <v>485</v>
      </c>
      <c r="E14" s="20" t="s">
        <v>715</v>
      </c>
      <c r="F14" s="27">
        <v>10986</v>
      </c>
      <c r="G14" s="19" t="s">
        <v>962</v>
      </c>
      <c r="H14" s="27"/>
      <c r="I14" s="19" t="s">
        <v>962</v>
      </c>
      <c r="J14" s="27"/>
      <c r="K14" s="19" t="s">
        <v>962</v>
      </c>
      <c r="L14" s="27"/>
      <c r="M14" s="19" t="s">
        <v>962</v>
      </c>
      <c r="N14" s="27"/>
      <c r="O14" s="19" t="s">
        <v>962</v>
      </c>
      <c r="P14" s="27"/>
      <c r="Q14" s="19" t="s">
        <v>962</v>
      </c>
      <c r="R14" s="21">
        <f t="shared" si="0"/>
        <v>10986</v>
      </c>
      <c r="S14" s="22" t="s">
        <v>962</v>
      </c>
      <c r="Z14" s="17">
        <v>10986</v>
      </c>
    </row>
    <row r="15" spans="2:29" ht="19.7" customHeight="1" x14ac:dyDescent="0.2">
      <c r="B15" s="18" t="s">
        <v>509</v>
      </c>
      <c r="C15" s="19" t="s">
        <v>49</v>
      </c>
      <c r="D15" s="19" t="s">
        <v>243</v>
      </c>
      <c r="E15" s="20" t="s">
        <v>569</v>
      </c>
      <c r="F15" s="27">
        <v>-285</v>
      </c>
      <c r="G15" s="19" t="s">
        <v>962</v>
      </c>
      <c r="H15" s="27"/>
      <c r="I15" s="19" t="s">
        <v>962</v>
      </c>
      <c r="J15" s="27"/>
      <c r="K15" s="19" t="s">
        <v>962</v>
      </c>
      <c r="L15" s="27"/>
      <c r="M15" s="19" t="s">
        <v>962</v>
      </c>
      <c r="N15" s="27"/>
      <c r="O15" s="19" t="s">
        <v>962</v>
      </c>
      <c r="P15" s="27"/>
      <c r="Q15" s="19" t="s">
        <v>962</v>
      </c>
      <c r="R15" s="21">
        <f t="shared" si="0"/>
        <v>-285</v>
      </c>
      <c r="S15" s="22" t="s">
        <v>962</v>
      </c>
      <c r="Z15" s="17">
        <v>-285</v>
      </c>
    </row>
    <row r="16" spans="2:29" ht="19.7" customHeight="1" x14ac:dyDescent="0.2">
      <c r="B16" s="18" t="s">
        <v>200</v>
      </c>
      <c r="C16" s="19" t="s">
        <v>421</v>
      </c>
      <c r="D16" s="19" t="s">
        <v>422</v>
      </c>
      <c r="E16" s="20" t="s">
        <v>569</v>
      </c>
      <c r="F16" s="27">
        <v>-1400</v>
      </c>
      <c r="G16" s="19" t="s">
        <v>962</v>
      </c>
      <c r="H16" s="27"/>
      <c r="I16" s="19" t="s">
        <v>962</v>
      </c>
      <c r="J16" s="27"/>
      <c r="K16" s="19" t="s">
        <v>962</v>
      </c>
      <c r="L16" s="27"/>
      <c r="M16" s="19" t="s">
        <v>962</v>
      </c>
      <c r="N16" s="27"/>
      <c r="O16" s="19" t="s">
        <v>962</v>
      </c>
      <c r="P16" s="27"/>
      <c r="Q16" s="19" t="s">
        <v>962</v>
      </c>
      <c r="R16" s="21">
        <f t="shared" si="0"/>
        <v>-1400</v>
      </c>
      <c r="S16" s="22" t="s">
        <v>962</v>
      </c>
      <c r="Z16" s="17">
        <v>-1400</v>
      </c>
    </row>
    <row r="17" spans="2:26" ht="19.7" customHeight="1" x14ac:dyDescent="0.2">
      <c r="B17" s="18" t="s">
        <v>610</v>
      </c>
      <c r="C17" s="19" t="s">
        <v>27</v>
      </c>
      <c r="D17" s="19" t="s">
        <v>460</v>
      </c>
      <c r="E17" s="20" t="s">
        <v>569</v>
      </c>
      <c r="F17" s="27">
        <v>-285</v>
      </c>
      <c r="G17" s="19" t="s">
        <v>962</v>
      </c>
      <c r="H17" s="27"/>
      <c r="I17" s="19" t="s">
        <v>962</v>
      </c>
      <c r="J17" s="27"/>
      <c r="K17" s="19" t="s">
        <v>962</v>
      </c>
      <c r="L17" s="27"/>
      <c r="M17" s="19" t="s">
        <v>962</v>
      </c>
      <c r="N17" s="27"/>
      <c r="O17" s="19" t="s">
        <v>962</v>
      </c>
      <c r="P17" s="27"/>
      <c r="Q17" s="19" t="s">
        <v>962</v>
      </c>
      <c r="R17" s="21">
        <f t="shared" si="0"/>
        <v>-285</v>
      </c>
      <c r="S17" s="22" t="s">
        <v>962</v>
      </c>
      <c r="Z17" s="17">
        <v>-285</v>
      </c>
    </row>
    <row r="18" spans="2:26" ht="19.7" customHeight="1" x14ac:dyDescent="0.2">
      <c r="B18" s="18" t="s">
        <v>34</v>
      </c>
      <c r="C18" s="19" t="s">
        <v>871</v>
      </c>
      <c r="D18" s="19" t="s">
        <v>414</v>
      </c>
      <c r="E18" s="20" t="s">
        <v>769</v>
      </c>
      <c r="F18" s="27">
        <v>2</v>
      </c>
      <c r="G18" s="19" t="s">
        <v>962</v>
      </c>
      <c r="H18" s="27"/>
      <c r="I18" s="19" t="s">
        <v>962</v>
      </c>
      <c r="J18" s="27"/>
      <c r="K18" s="19" t="s">
        <v>962</v>
      </c>
      <c r="L18" s="27"/>
      <c r="M18" s="19" t="s">
        <v>962</v>
      </c>
      <c r="N18" s="27"/>
      <c r="O18" s="19" t="s">
        <v>962</v>
      </c>
      <c r="P18" s="27"/>
      <c r="Q18" s="19" t="s">
        <v>962</v>
      </c>
      <c r="R18" s="21">
        <f t="shared" si="0"/>
        <v>2</v>
      </c>
      <c r="S18" s="22" t="s">
        <v>474</v>
      </c>
      <c r="Z18" s="17">
        <v>2</v>
      </c>
    </row>
    <row r="19" spans="2:26" ht="19.7" customHeight="1" x14ac:dyDescent="0.2">
      <c r="B19" s="18" t="s">
        <v>545</v>
      </c>
      <c r="C19" s="19" t="s">
        <v>342</v>
      </c>
      <c r="D19" s="19" t="s">
        <v>528</v>
      </c>
      <c r="E19" s="20" t="s">
        <v>761</v>
      </c>
      <c r="F19" s="27">
        <v>2</v>
      </c>
      <c r="G19" s="19" t="s">
        <v>962</v>
      </c>
      <c r="H19" s="27"/>
      <c r="I19" s="19" t="s">
        <v>962</v>
      </c>
      <c r="J19" s="27"/>
      <c r="K19" s="19" t="s">
        <v>962</v>
      </c>
      <c r="L19" s="27"/>
      <c r="M19" s="19" t="s">
        <v>962</v>
      </c>
      <c r="N19" s="27"/>
      <c r="O19" s="19" t="s">
        <v>962</v>
      </c>
      <c r="P19" s="27"/>
      <c r="Q19" s="19" t="s">
        <v>962</v>
      </c>
      <c r="R19" s="21">
        <f t="shared" si="0"/>
        <v>2</v>
      </c>
      <c r="S19" s="22" t="s">
        <v>962</v>
      </c>
      <c r="Z19" s="17">
        <v>2</v>
      </c>
    </row>
    <row r="20" spans="2:26" ht="19.7" customHeight="1" x14ac:dyDescent="0.2">
      <c r="B20" s="18" t="s">
        <v>165</v>
      </c>
      <c r="C20" s="19" t="s">
        <v>386</v>
      </c>
      <c r="D20" s="19" t="s">
        <v>67</v>
      </c>
      <c r="E20" s="20" t="s">
        <v>569</v>
      </c>
      <c r="F20" s="27">
        <v>7500</v>
      </c>
      <c r="G20" s="19" t="s">
        <v>962</v>
      </c>
      <c r="H20" s="27"/>
      <c r="I20" s="19" t="s">
        <v>962</v>
      </c>
      <c r="J20" s="27"/>
      <c r="K20" s="19" t="s">
        <v>962</v>
      </c>
      <c r="L20" s="27"/>
      <c r="M20" s="19" t="s">
        <v>962</v>
      </c>
      <c r="N20" s="27"/>
      <c r="O20" s="19" t="s">
        <v>962</v>
      </c>
      <c r="P20" s="27"/>
      <c r="Q20" s="19" t="s">
        <v>962</v>
      </c>
      <c r="R20" s="21">
        <f t="shared" si="0"/>
        <v>7500</v>
      </c>
      <c r="S20" s="22" t="s">
        <v>962</v>
      </c>
      <c r="Z20" s="17">
        <v>7500</v>
      </c>
    </row>
    <row r="21" spans="2:26" ht="19.7" customHeight="1" x14ac:dyDescent="0.2">
      <c r="B21" s="18" t="s">
        <v>707</v>
      </c>
      <c r="C21" s="19" t="s">
        <v>585</v>
      </c>
      <c r="D21" s="19" t="s">
        <v>369</v>
      </c>
      <c r="E21" s="20" t="s">
        <v>569</v>
      </c>
      <c r="F21" s="27">
        <v>5300</v>
      </c>
      <c r="G21" s="19" t="s">
        <v>962</v>
      </c>
      <c r="H21" s="27"/>
      <c r="I21" s="19" t="s">
        <v>962</v>
      </c>
      <c r="J21" s="27"/>
      <c r="K21" s="19" t="s">
        <v>962</v>
      </c>
      <c r="L21" s="27"/>
      <c r="M21" s="19" t="s">
        <v>962</v>
      </c>
      <c r="N21" s="27"/>
      <c r="O21" s="19" t="s">
        <v>962</v>
      </c>
      <c r="P21" s="27"/>
      <c r="Q21" s="19" t="s">
        <v>962</v>
      </c>
      <c r="R21" s="21">
        <f t="shared" si="0"/>
        <v>5300</v>
      </c>
      <c r="S21" s="22" t="s">
        <v>962</v>
      </c>
      <c r="Z21" s="17">
        <v>5300</v>
      </c>
    </row>
    <row r="22" spans="2:26" ht="19.7" customHeight="1" x14ac:dyDescent="0.2">
      <c r="B22" s="18" t="s">
        <v>169</v>
      </c>
      <c r="C22" s="19" t="s">
        <v>264</v>
      </c>
      <c r="D22" s="19" t="s">
        <v>962</v>
      </c>
      <c r="E22" s="20" t="s">
        <v>769</v>
      </c>
      <c r="F22" s="27">
        <v>2300</v>
      </c>
      <c r="G22" s="19" t="s">
        <v>962</v>
      </c>
      <c r="H22" s="27"/>
      <c r="I22" s="19" t="s">
        <v>962</v>
      </c>
      <c r="J22" s="27"/>
      <c r="K22" s="19" t="s">
        <v>962</v>
      </c>
      <c r="L22" s="27"/>
      <c r="M22" s="19" t="s">
        <v>962</v>
      </c>
      <c r="N22" s="27"/>
      <c r="O22" s="19" t="s">
        <v>962</v>
      </c>
      <c r="P22" s="27"/>
      <c r="Q22" s="19" t="s">
        <v>962</v>
      </c>
      <c r="R22" s="21">
        <f t="shared" si="0"/>
        <v>2300</v>
      </c>
      <c r="S22" s="22" t="s">
        <v>962</v>
      </c>
      <c r="Z22" s="17">
        <v>2300</v>
      </c>
    </row>
    <row r="23" spans="2:26" ht="19.7" customHeight="1" x14ac:dyDescent="0.2">
      <c r="B23" s="18" t="s">
        <v>694</v>
      </c>
      <c r="C23" s="19" t="s">
        <v>271</v>
      </c>
      <c r="D23" s="19" t="s">
        <v>879</v>
      </c>
      <c r="E23" s="20" t="s">
        <v>569</v>
      </c>
      <c r="F23" s="27">
        <v>20746</v>
      </c>
      <c r="G23" s="19" t="s">
        <v>962</v>
      </c>
      <c r="H23" s="27"/>
      <c r="I23" s="19" t="s">
        <v>962</v>
      </c>
      <c r="J23" s="27"/>
      <c r="K23" s="19" t="s">
        <v>962</v>
      </c>
      <c r="L23" s="27"/>
      <c r="M23" s="19" t="s">
        <v>962</v>
      </c>
      <c r="N23" s="27"/>
      <c r="O23" s="19" t="s">
        <v>962</v>
      </c>
      <c r="P23" s="27"/>
      <c r="Q23" s="19" t="s">
        <v>962</v>
      </c>
      <c r="R23" s="21">
        <f t="shared" si="0"/>
        <v>20746</v>
      </c>
      <c r="S23" s="22" t="s">
        <v>962</v>
      </c>
      <c r="Z23" s="17">
        <v>20746</v>
      </c>
    </row>
    <row r="24" spans="2:26" ht="19.7" customHeight="1" x14ac:dyDescent="0.2">
      <c r="B24" s="18" t="s">
        <v>831</v>
      </c>
      <c r="C24" s="19" t="s">
        <v>616</v>
      </c>
      <c r="D24" s="19" t="s">
        <v>408</v>
      </c>
      <c r="E24" s="20" t="s">
        <v>366</v>
      </c>
      <c r="F24" s="27">
        <v>1900</v>
      </c>
      <c r="G24" s="19" t="s">
        <v>962</v>
      </c>
      <c r="H24" s="27"/>
      <c r="I24" s="19" t="s">
        <v>962</v>
      </c>
      <c r="J24" s="27"/>
      <c r="K24" s="19" t="s">
        <v>962</v>
      </c>
      <c r="L24" s="27"/>
      <c r="M24" s="19" t="s">
        <v>962</v>
      </c>
      <c r="N24" s="27"/>
      <c r="O24" s="19" t="s">
        <v>962</v>
      </c>
      <c r="P24" s="27"/>
      <c r="Q24" s="19" t="s">
        <v>962</v>
      </c>
      <c r="R24" s="21">
        <f t="shared" si="0"/>
        <v>1900</v>
      </c>
      <c r="S24" s="22" t="s">
        <v>962</v>
      </c>
      <c r="Z24" s="17">
        <v>1900</v>
      </c>
    </row>
    <row r="25" spans="2:26" ht="19.7" customHeight="1" x14ac:dyDescent="0.2">
      <c r="B25" s="18" t="s">
        <v>286</v>
      </c>
      <c r="C25" s="19" t="s">
        <v>616</v>
      </c>
      <c r="D25" s="19" t="s">
        <v>619</v>
      </c>
      <c r="E25" s="20" t="s">
        <v>366</v>
      </c>
      <c r="F25" s="27">
        <v>1300</v>
      </c>
      <c r="G25" s="19" t="s">
        <v>962</v>
      </c>
      <c r="H25" s="27"/>
      <c r="I25" s="19" t="s">
        <v>962</v>
      </c>
      <c r="J25" s="27"/>
      <c r="K25" s="19" t="s">
        <v>962</v>
      </c>
      <c r="L25" s="27"/>
      <c r="M25" s="19" t="s">
        <v>962</v>
      </c>
      <c r="N25" s="27"/>
      <c r="O25" s="19" t="s">
        <v>962</v>
      </c>
      <c r="P25" s="27"/>
      <c r="Q25" s="19" t="s">
        <v>962</v>
      </c>
      <c r="R25" s="21">
        <f t="shared" si="0"/>
        <v>1300</v>
      </c>
      <c r="S25" s="22" t="s">
        <v>962</v>
      </c>
      <c r="Z25" s="17">
        <v>1300</v>
      </c>
    </row>
    <row r="26" spans="2:26" ht="19.7" customHeight="1" x14ac:dyDescent="0.2">
      <c r="B26" s="18" t="s">
        <v>903</v>
      </c>
      <c r="C26" s="19" t="s">
        <v>50</v>
      </c>
      <c r="D26" s="19" t="s">
        <v>962</v>
      </c>
      <c r="E26" s="20" t="s">
        <v>569</v>
      </c>
      <c r="F26" s="27">
        <v>1600</v>
      </c>
      <c r="G26" s="19" t="s">
        <v>962</v>
      </c>
      <c r="H26" s="27"/>
      <c r="I26" s="19" t="s">
        <v>962</v>
      </c>
      <c r="J26" s="27"/>
      <c r="K26" s="19" t="s">
        <v>962</v>
      </c>
      <c r="L26" s="27"/>
      <c r="M26" s="19" t="s">
        <v>962</v>
      </c>
      <c r="N26" s="27"/>
      <c r="O26" s="19" t="s">
        <v>962</v>
      </c>
      <c r="P26" s="27"/>
      <c r="Q26" s="19" t="s">
        <v>962</v>
      </c>
      <c r="R26" s="21">
        <f t="shared" si="0"/>
        <v>1600</v>
      </c>
      <c r="S26" s="22" t="s">
        <v>962</v>
      </c>
      <c r="Z26" s="17">
        <v>1600</v>
      </c>
    </row>
    <row r="27" spans="2:26" ht="19.7" customHeight="1" x14ac:dyDescent="0.2">
      <c r="B27" s="18" t="s">
        <v>398</v>
      </c>
      <c r="C27" s="19" t="s">
        <v>160</v>
      </c>
      <c r="D27" s="19" t="s">
        <v>962</v>
      </c>
      <c r="E27" s="20" t="s">
        <v>769</v>
      </c>
      <c r="F27" s="27">
        <v>1229</v>
      </c>
      <c r="G27" s="19" t="s">
        <v>962</v>
      </c>
      <c r="H27" s="27"/>
      <c r="I27" s="19" t="s">
        <v>962</v>
      </c>
      <c r="J27" s="27"/>
      <c r="K27" s="19" t="s">
        <v>962</v>
      </c>
      <c r="L27" s="27"/>
      <c r="M27" s="19" t="s">
        <v>962</v>
      </c>
      <c r="N27" s="27"/>
      <c r="O27" s="19" t="s">
        <v>962</v>
      </c>
      <c r="P27" s="27"/>
      <c r="Q27" s="19" t="s">
        <v>962</v>
      </c>
      <c r="R27" s="21">
        <f t="shared" si="0"/>
        <v>1229</v>
      </c>
      <c r="S27" s="22" t="s">
        <v>962</v>
      </c>
      <c r="Z27" s="17">
        <v>1229</v>
      </c>
    </row>
    <row r="28" spans="2:26" ht="19.7" customHeight="1" x14ac:dyDescent="0.2">
      <c r="B28" s="18" t="s">
        <v>740</v>
      </c>
      <c r="C28" s="19" t="s">
        <v>281</v>
      </c>
      <c r="D28" s="19" t="s">
        <v>962</v>
      </c>
      <c r="E28" s="20" t="s">
        <v>769</v>
      </c>
      <c r="F28" s="27">
        <v>1423</v>
      </c>
      <c r="G28" s="19" t="s">
        <v>962</v>
      </c>
      <c r="H28" s="27"/>
      <c r="I28" s="19" t="s">
        <v>962</v>
      </c>
      <c r="J28" s="27"/>
      <c r="K28" s="19" t="s">
        <v>962</v>
      </c>
      <c r="L28" s="27"/>
      <c r="M28" s="19" t="s">
        <v>962</v>
      </c>
      <c r="N28" s="27"/>
      <c r="O28" s="19" t="s">
        <v>962</v>
      </c>
      <c r="P28" s="27"/>
      <c r="Q28" s="19" t="s">
        <v>962</v>
      </c>
      <c r="R28" s="21">
        <f t="shared" si="0"/>
        <v>1423</v>
      </c>
      <c r="S28" s="22" t="s">
        <v>962</v>
      </c>
      <c r="Z28" s="17">
        <v>1423</v>
      </c>
    </row>
    <row r="29" spans="2:26" ht="19.7" customHeight="1" x14ac:dyDescent="0.2">
      <c r="B29" s="18" t="s">
        <v>319</v>
      </c>
      <c r="C29" s="19" t="s">
        <v>945</v>
      </c>
      <c r="D29" s="19" t="s">
        <v>341</v>
      </c>
      <c r="E29" s="20" t="s">
        <v>569</v>
      </c>
      <c r="F29" s="27">
        <v>14960</v>
      </c>
      <c r="G29" s="19" t="s">
        <v>962</v>
      </c>
      <c r="H29" s="27"/>
      <c r="I29" s="19" t="s">
        <v>962</v>
      </c>
      <c r="J29" s="27"/>
      <c r="K29" s="19" t="s">
        <v>962</v>
      </c>
      <c r="L29" s="27"/>
      <c r="M29" s="19" t="s">
        <v>962</v>
      </c>
      <c r="N29" s="27"/>
      <c r="O29" s="19" t="s">
        <v>962</v>
      </c>
      <c r="P29" s="27"/>
      <c r="Q29" s="19" t="s">
        <v>962</v>
      </c>
      <c r="R29" s="21">
        <f t="shared" si="0"/>
        <v>14960</v>
      </c>
      <c r="S29" s="22" t="s">
        <v>962</v>
      </c>
      <c r="Z29" s="17">
        <v>14960</v>
      </c>
    </row>
    <row r="30" spans="2:26" ht="19.7" customHeight="1" x14ac:dyDescent="0.2">
      <c r="B30" s="18" t="s">
        <v>864</v>
      </c>
      <c r="C30" s="19" t="s">
        <v>110</v>
      </c>
      <c r="D30" s="19" t="s">
        <v>962</v>
      </c>
      <c r="E30" s="20" t="s">
        <v>569</v>
      </c>
      <c r="F30" s="27">
        <v>1998</v>
      </c>
      <c r="G30" s="19" t="s">
        <v>962</v>
      </c>
      <c r="H30" s="27"/>
      <c r="I30" s="19" t="s">
        <v>962</v>
      </c>
      <c r="J30" s="27"/>
      <c r="K30" s="19" t="s">
        <v>962</v>
      </c>
      <c r="L30" s="27"/>
      <c r="M30" s="19" t="s">
        <v>962</v>
      </c>
      <c r="N30" s="27"/>
      <c r="O30" s="19" t="s">
        <v>962</v>
      </c>
      <c r="P30" s="27"/>
      <c r="Q30" s="19" t="s">
        <v>962</v>
      </c>
      <c r="R30" s="21">
        <f t="shared" si="0"/>
        <v>1998</v>
      </c>
      <c r="S30" s="22" t="s">
        <v>962</v>
      </c>
      <c r="Z30" s="17">
        <v>1998</v>
      </c>
    </row>
    <row r="31" spans="2:26" ht="19.7" customHeight="1" x14ac:dyDescent="0.2">
      <c r="B31" s="18" t="s">
        <v>482</v>
      </c>
      <c r="C31" s="19" t="s">
        <v>637</v>
      </c>
      <c r="D31" s="19" t="s">
        <v>52</v>
      </c>
      <c r="E31" s="20" t="s">
        <v>569</v>
      </c>
      <c r="F31" s="27">
        <v>1998</v>
      </c>
      <c r="G31" s="19" t="s">
        <v>962</v>
      </c>
      <c r="H31" s="27"/>
      <c r="I31" s="19" t="s">
        <v>962</v>
      </c>
      <c r="J31" s="27"/>
      <c r="K31" s="19" t="s">
        <v>962</v>
      </c>
      <c r="L31" s="27"/>
      <c r="M31" s="19" t="s">
        <v>962</v>
      </c>
      <c r="N31" s="27"/>
      <c r="O31" s="19" t="s">
        <v>962</v>
      </c>
      <c r="P31" s="27"/>
      <c r="Q31" s="19" t="s">
        <v>962</v>
      </c>
      <c r="R31" s="21">
        <f t="shared" si="0"/>
        <v>1998</v>
      </c>
      <c r="S31" s="22" t="s">
        <v>962</v>
      </c>
      <c r="Z31" s="17">
        <v>1998</v>
      </c>
    </row>
    <row r="32" spans="2:26" ht="19.7" customHeight="1" x14ac:dyDescent="0.2">
      <c r="B32" s="23" t="s">
        <v>895</v>
      </c>
      <c r="C32" s="24" t="s">
        <v>591</v>
      </c>
      <c r="D32" s="24" t="s">
        <v>295</v>
      </c>
      <c r="E32" s="25" t="s">
        <v>596</v>
      </c>
      <c r="F32" s="10">
        <v>17000</v>
      </c>
      <c r="G32" s="24" t="s">
        <v>962</v>
      </c>
      <c r="H32" s="10"/>
      <c r="I32" s="24" t="s">
        <v>962</v>
      </c>
      <c r="J32" s="10"/>
      <c r="K32" s="24" t="s">
        <v>962</v>
      </c>
      <c r="L32" s="10"/>
      <c r="M32" s="24" t="s">
        <v>962</v>
      </c>
      <c r="N32" s="10"/>
      <c r="O32" s="24" t="s">
        <v>962</v>
      </c>
      <c r="P32" s="10"/>
      <c r="Q32" s="24" t="s">
        <v>962</v>
      </c>
      <c r="R32" s="11">
        <f t="shared" si="0"/>
        <v>17000</v>
      </c>
      <c r="S32" s="26" t="s">
        <v>962</v>
      </c>
      <c r="Z32" s="17">
        <v>17000</v>
      </c>
    </row>
    <row r="33" spans="2:26" ht="19.7" customHeight="1" x14ac:dyDescent="0.2">
      <c r="B33" s="18" t="s">
        <v>464</v>
      </c>
      <c r="C33" s="19" t="s">
        <v>929</v>
      </c>
      <c r="D33" s="19" t="s">
        <v>295</v>
      </c>
      <c r="E33" s="20" t="s">
        <v>596</v>
      </c>
      <c r="F33" s="27">
        <v>110000</v>
      </c>
      <c r="G33" s="19" t="s">
        <v>962</v>
      </c>
      <c r="H33" s="27"/>
      <c r="I33" s="19" t="s">
        <v>962</v>
      </c>
      <c r="J33" s="27"/>
      <c r="K33" s="19" t="s">
        <v>962</v>
      </c>
      <c r="L33" s="27"/>
      <c r="M33" s="19" t="s">
        <v>962</v>
      </c>
      <c r="N33" s="27"/>
      <c r="O33" s="19" t="s">
        <v>962</v>
      </c>
      <c r="P33" s="27"/>
      <c r="Q33" s="19" t="s">
        <v>962</v>
      </c>
      <c r="R33" s="21">
        <f t="shared" si="0"/>
        <v>110000</v>
      </c>
      <c r="S33" s="22" t="s">
        <v>962</v>
      </c>
      <c r="Z33" s="17">
        <v>110000</v>
      </c>
    </row>
    <row r="34" spans="2:26" ht="19.7" customHeight="1" x14ac:dyDescent="0.2">
      <c r="B34" s="18" t="s">
        <v>586</v>
      </c>
      <c r="C34" s="19" t="s">
        <v>700</v>
      </c>
      <c r="D34" s="19" t="s">
        <v>770</v>
      </c>
      <c r="E34" s="20" t="s">
        <v>274</v>
      </c>
      <c r="F34" s="27">
        <v>100000</v>
      </c>
      <c r="G34" s="19" t="s">
        <v>962</v>
      </c>
      <c r="H34" s="27"/>
      <c r="I34" s="19" t="s">
        <v>962</v>
      </c>
      <c r="J34" s="27"/>
      <c r="K34" s="19" t="s">
        <v>962</v>
      </c>
      <c r="L34" s="27"/>
      <c r="M34" s="19" t="s">
        <v>962</v>
      </c>
      <c r="N34" s="27"/>
      <c r="O34" s="19" t="s">
        <v>962</v>
      </c>
      <c r="P34" s="27"/>
      <c r="Q34" s="19" t="s">
        <v>962</v>
      </c>
      <c r="R34" s="21">
        <f t="shared" si="0"/>
        <v>100000</v>
      </c>
      <c r="S34" s="22" t="s">
        <v>962</v>
      </c>
      <c r="Z34" s="17">
        <v>100000</v>
      </c>
    </row>
    <row r="35" spans="2:26" ht="19.7" customHeight="1" x14ac:dyDescent="0.2">
      <c r="B35" s="18" t="s">
        <v>46</v>
      </c>
      <c r="C35" s="19" t="s">
        <v>115</v>
      </c>
      <c r="D35" s="19" t="s">
        <v>272</v>
      </c>
      <c r="E35" s="20" t="s">
        <v>596</v>
      </c>
      <c r="F35" s="27">
        <v>450000</v>
      </c>
      <c r="G35" s="19" t="s">
        <v>962</v>
      </c>
      <c r="H35" s="27"/>
      <c r="I35" s="19" t="s">
        <v>962</v>
      </c>
      <c r="J35" s="27"/>
      <c r="K35" s="19" t="s">
        <v>962</v>
      </c>
      <c r="L35" s="27"/>
      <c r="M35" s="19" t="s">
        <v>962</v>
      </c>
      <c r="N35" s="27"/>
      <c r="O35" s="19" t="s">
        <v>962</v>
      </c>
      <c r="P35" s="27"/>
      <c r="Q35" s="19" t="s">
        <v>962</v>
      </c>
      <c r="R35" s="21">
        <f t="shared" si="0"/>
        <v>450000</v>
      </c>
      <c r="S35" s="22" t="s">
        <v>962</v>
      </c>
      <c r="Z35" s="17">
        <v>450000</v>
      </c>
    </row>
    <row r="36" spans="2:26" ht="19.7" customHeight="1" x14ac:dyDescent="0.2">
      <c r="B36" s="18" t="s">
        <v>650</v>
      </c>
      <c r="C36" s="19" t="s">
        <v>732</v>
      </c>
      <c r="D36" s="19" t="s">
        <v>295</v>
      </c>
      <c r="E36" s="20" t="s">
        <v>596</v>
      </c>
      <c r="F36" s="27">
        <v>130000</v>
      </c>
      <c r="G36" s="19" t="s">
        <v>962</v>
      </c>
      <c r="H36" s="27"/>
      <c r="I36" s="19" t="s">
        <v>962</v>
      </c>
      <c r="J36" s="27"/>
      <c r="K36" s="19" t="s">
        <v>962</v>
      </c>
      <c r="L36" s="27"/>
      <c r="M36" s="19" t="s">
        <v>962</v>
      </c>
      <c r="N36" s="27"/>
      <c r="O36" s="19" t="s">
        <v>962</v>
      </c>
      <c r="P36" s="27"/>
      <c r="Q36" s="19" t="s">
        <v>962</v>
      </c>
      <c r="R36" s="21">
        <f t="shared" si="0"/>
        <v>130000</v>
      </c>
      <c r="S36" s="22" t="s">
        <v>962</v>
      </c>
      <c r="Z36" s="17">
        <v>130000</v>
      </c>
    </row>
    <row r="37" spans="2:26" ht="19.7" customHeight="1" x14ac:dyDescent="0.2">
      <c r="B37" s="18" t="s">
        <v>147</v>
      </c>
      <c r="C37" s="19" t="s">
        <v>794</v>
      </c>
      <c r="D37" s="19" t="s">
        <v>295</v>
      </c>
      <c r="E37" s="20" t="s">
        <v>596</v>
      </c>
      <c r="F37" s="27">
        <v>35000</v>
      </c>
      <c r="G37" s="19" t="s">
        <v>962</v>
      </c>
      <c r="H37" s="27"/>
      <c r="I37" s="19" t="s">
        <v>962</v>
      </c>
      <c r="J37" s="27"/>
      <c r="K37" s="19" t="s">
        <v>962</v>
      </c>
      <c r="L37" s="27"/>
      <c r="M37" s="19" t="s">
        <v>962</v>
      </c>
      <c r="N37" s="27"/>
      <c r="O37" s="19" t="s">
        <v>962</v>
      </c>
      <c r="P37" s="27"/>
      <c r="Q37" s="19" t="s">
        <v>962</v>
      </c>
      <c r="R37" s="21">
        <f t="shared" ref="R37:R68" si="1">MIN(F37,H37,J37,L37,N37,P37)</f>
        <v>35000</v>
      </c>
      <c r="S37" s="22" t="s">
        <v>962</v>
      </c>
      <c r="Z37" s="17">
        <v>35000</v>
      </c>
    </row>
    <row r="38" spans="2:26" ht="19.7" customHeight="1" x14ac:dyDescent="0.2">
      <c r="B38" s="18" t="s">
        <v>502</v>
      </c>
      <c r="C38" s="19" t="s">
        <v>892</v>
      </c>
      <c r="D38" s="19" t="s">
        <v>295</v>
      </c>
      <c r="E38" s="20" t="s">
        <v>596</v>
      </c>
      <c r="F38" s="27">
        <v>50000</v>
      </c>
      <c r="G38" s="19" t="s">
        <v>962</v>
      </c>
      <c r="H38" s="27"/>
      <c r="I38" s="19" t="s">
        <v>962</v>
      </c>
      <c r="J38" s="27"/>
      <c r="K38" s="19" t="s">
        <v>962</v>
      </c>
      <c r="L38" s="27"/>
      <c r="M38" s="19" t="s">
        <v>962</v>
      </c>
      <c r="N38" s="27"/>
      <c r="O38" s="19" t="s">
        <v>962</v>
      </c>
      <c r="P38" s="27"/>
      <c r="Q38" s="19" t="s">
        <v>962</v>
      </c>
      <c r="R38" s="21">
        <f t="shared" si="1"/>
        <v>50000</v>
      </c>
      <c r="S38" s="22" t="s">
        <v>962</v>
      </c>
      <c r="Z38" s="17">
        <v>50000</v>
      </c>
    </row>
    <row r="39" spans="2:26" ht="19.7" customHeight="1" x14ac:dyDescent="0.2">
      <c r="B39" s="18" t="s">
        <v>82</v>
      </c>
      <c r="C39" s="19" t="s">
        <v>48</v>
      </c>
      <c r="D39" s="19" t="s">
        <v>295</v>
      </c>
      <c r="E39" s="20" t="s">
        <v>274</v>
      </c>
      <c r="F39" s="27">
        <v>66000</v>
      </c>
      <c r="G39" s="19" t="s">
        <v>962</v>
      </c>
      <c r="H39" s="27"/>
      <c r="I39" s="19" t="s">
        <v>962</v>
      </c>
      <c r="J39" s="27"/>
      <c r="K39" s="19" t="s">
        <v>962</v>
      </c>
      <c r="L39" s="27"/>
      <c r="M39" s="19" t="s">
        <v>962</v>
      </c>
      <c r="N39" s="27"/>
      <c r="O39" s="19" t="s">
        <v>962</v>
      </c>
      <c r="P39" s="27"/>
      <c r="Q39" s="19" t="s">
        <v>962</v>
      </c>
      <c r="R39" s="21">
        <f t="shared" si="1"/>
        <v>66000</v>
      </c>
      <c r="S39" s="22" t="s">
        <v>962</v>
      </c>
      <c r="Z39" s="17">
        <v>66000</v>
      </c>
    </row>
    <row r="40" spans="2:26" ht="19.7" customHeight="1" x14ac:dyDescent="0.2">
      <c r="B40" s="18" t="s">
        <v>627</v>
      </c>
      <c r="C40" s="19" t="s">
        <v>21</v>
      </c>
      <c r="D40" s="19" t="s">
        <v>295</v>
      </c>
      <c r="E40" s="20" t="s">
        <v>596</v>
      </c>
      <c r="F40" s="27">
        <v>50000</v>
      </c>
      <c r="G40" s="19" t="s">
        <v>962</v>
      </c>
      <c r="H40" s="27"/>
      <c r="I40" s="19" t="s">
        <v>962</v>
      </c>
      <c r="J40" s="27"/>
      <c r="K40" s="19" t="s">
        <v>962</v>
      </c>
      <c r="L40" s="27"/>
      <c r="M40" s="19" t="s">
        <v>962</v>
      </c>
      <c r="N40" s="27"/>
      <c r="O40" s="19" t="s">
        <v>962</v>
      </c>
      <c r="P40" s="27"/>
      <c r="Q40" s="19" t="s">
        <v>962</v>
      </c>
      <c r="R40" s="21">
        <f t="shared" si="1"/>
        <v>50000</v>
      </c>
      <c r="S40" s="22" t="s">
        <v>962</v>
      </c>
      <c r="Z40" s="17">
        <v>50000</v>
      </c>
    </row>
    <row r="41" spans="2:26" ht="19.7" customHeight="1" x14ac:dyDescent="0.2">
      <c r="B41" s="18" t="s">
        <v>252</v>
      </c>
      <c r="C41" s="19" t="s">
        <v>848</v>
      </c>
      <c r="D41" s="19" t="s">
        <v>295</v>
      </c>
      <c r="E41" s="20" t="s">
        <v>596</v>
      </c>
      <c r="F41" s="27">
        <v>30000</v>
      </c>
      <c r="G41" s="19" t="s">
        <v>962</v>
      </c>
      <c r="H41" s="27"/>
      <c r="I41" s="19" t="s">
        <v>962</v>
      </c>
      <c r="J41" s="27"/>
      <c r="K41" s="19" t="s">
        <v>962</v>
      </c>
      <c r="L41" s="27"/>
      <c r="M41" s="19" t="s">
        <v>962</v>
      </c>
      <c r="N41" s="27"/>
      <c r="O41" s="19" t="s">
        <v>962</v>
      </c>
      <c r="P41" s="27"/>
      <c r="Q41" s="19" t="s">
        <v>962</v>
      </c>
      <c r="R41" s="21">
        <f t="shared" si="1"/>
        <v>30000</v>
      </c>
      <c r="S41" s="22" t="s">
        <v>962</v>
      </c>
      <c r="Z41" s="17">
        <v>30000</v>
      </c>
    </row>
    <row r="42" spans="2:26" ht="19.7" customHeight="1" x14ac:dyDescent="0.2">
      <c r="B42" s="18" t="s">
        <v>642</v>
      </c>
      <c r="C42" s="19" t="s">
        <v>824</v>
      </c>
      <c r="D42" s="19" t="s">
        <v>896</v>
      </c>
      <c r="E42" s="20" t="s">
        <v>274</v>
      </c>
      <c r="F42" s="27">
        <v>107000</v>
      </c>
      <c r="G42" s="19" t="s">
        <v>962</v>
      </c>
      <c r="H42" s="27"/>
      <c r="I42" s="19" t="s">
        <v>962</v>
      </c>
      <c r="J42" s="27"/>
      <c r="K42" s="19" t="s">
        <v>962</v>
      </c>
      <c r="L42" s="27"/>
      <c r="M42" s="19" t="s">
        <v>962</v>
      </c>
      <c r="N42" s="27"/>
      <c r="O42" s="19" t="s">
        <v>962</v>
      </c>
      <c r="P42" s="27"/>
      <c r="Q42" s="19" t="s">
        <v>962</v>
      </c>
      <c r="R42" s="21">
        <f t="shared" si="1"/>
        <v>107000</v>
      </c>
      <c r="S42" s="22" t="s">
        <v>962</v>
      </c>
      <c r="Z42" s="17">
        <v>107000</v>
      </c>
    </row>
    <row r="43" spans="2:26" ht="19.7" customHeight="1" x14ac:dyDescent="0.2">
      <c r="B43" s="18" t="s">
        <v>223</v>
      </c>
      <c r="C43" s="19" t="s">
        <v>820</v>
      </c>
      <c r="D43" s="19" t="s">
        <v>562</v>
      </c>
      <c r="E43" s="20" t="s">
        <v>274</v>
      </c>
      <c r="F43" s="27">
        <v>135000</v>
      </c>
      <c r="G43" s="19" t="s">
        <v>962</v>
      </c>
      <c r="H43" s="27"/>
      <c r="I43" s="19" t="s">
        <v>962</v>
      </c>
      <c r="J43" s="27"/>
      <c r="K43" s="19" t="s">
        <v>962</v>
      </c>
      <c r="L43" s="27"/>
      <c r="M43" s="19" t="s">
        <v>962</v>
      </c>
      <c r="N43" s="27"/>
      <c r="O43" s="19" t="s">
        <v>962</v>
      </c>
      <c r="P43" s="27"/>
      <c r="Q43" s="19" t="s">
        <v>962</v>
      </c>
      <c r="R43" s="21">
        <f t="shared" si="1"/>
        <v>135000</v>
      </c>
      <c r="S43" s="22" t="s">
        <v>962</v>
      </c>
      <c r="Z43" s="17">
        <v>135000</v>
      </c>
    </row>
    <row r="44" spans="2:26" ht="19.7" customHeight="1" x14ac:dyDescent="0.2">
      <c r="B44" s="18" t="s">
        <v>353</v>
      </c>
      <c r="C44" s="19" t="s">
        <v>518</v>
      </c>
      <c r="D44" s="19" t="s">
        <v>736</v>
      </c>
      <c r="E44" s="20" t="s">
        <v>274</v>
      </c>
      <c r="F44" s="27">
        <v>169800</v>
      </c>
      <c r="G44" s="19" t="s">
        <v>962</v>
      </c>
      <c r="H44" s="27"/>
      <c r="I44" s="19" t="s">
        <v>962</v>
      </c>
      <c r="J44" s="27"/>
      <c r="K44" s="19" t="s">
        <v>962</v>
      </c>
      <c r="L44" s="27"/>
      <c r="M44" s="19" t="s">
        <v>962</v>
      </c>
      <c r="N44" s="27"/>
      <c r="O44" s="19" t="s">
        <v>962</v>
      </c>
      <c r="P44" s="27"/>
      <c r="Q44" s="19" t="s">
        <v>962</v>
      </c>
      <c r="R44" s="21">
        <f t="shared" si="1"/>
        <v>169800</v>
      </c>
      <c r="S44" s="22" t="s">
        <v>962</v>
      </c>
      <c r="Z44" s="17">
        <v>169800</v>
      </c>
    </row>
    <row r="45" spans="2:26" ht="19.7" customHeight="1" x14ac:dyDescent="0.2">
      <c r="B45" s="18" t="s">
        <v>773</v>
      </c>
      <c r="C45" s="19" t="s">
        <v>383</v>
      </c>
      <c r="D45" s="19" t="s">
        <v>355</v>
      </c>
      <c r="E45" s="20" t="s">
        <v>569</v>
      </c>
      <c r="F45" s="27">
        <v>2880</v>
      </c>
      <c r="G45" s="19" t="s">
        <v>962</v>
      </c>
      <c r="H45" s="27"/>
      <c r="I45" s="19" t="s">
        <v>962</v>
      </c>
      <c r="J45" s="27"/>
      <c r="K45" s="19" t="s">
        <v>962</v>
      </c>
      <c r="L45" s="27"/>
      <c r="M45" s="19" t="s">
        <v>962</v>
      </c>
      <c r="N45" s="27"/>
      <c r="O45" s="19" t="s">
        <v>962</v>
      </c>
      <c r="P45" s="27"/>
      <c r="Q45" s="19" t="s">
        <v>962</v>
      </c>
      <c r="R45" s="21">
        <f t="shared" si="1"/>
        <v>2880</v>
      </c>
      <c r="S45" s="22" t="s">
        <v>10</v>
      </c>
      <c r="Z45" s="17">
        <v>2880</v>
      </c>
    </row>
    <row r="46" spans="2:26" ht="19.7" customHeight="1" x14ac:dyDescent="0.2">
      <c r="B46" s="18" t="s">
        <v>456</v>
      </c>
      <c r="C46" s="19" t="s">
        <v>681</v>
      </c>
      <c r="D46" s="19" t="s">
        <v>365</v>
      </c>
      <c r="E46" s="20" t="s">
        <v>618</v>
      </c>
      <c r="F46" s="27">
        <v>264750</v>
      </c>
      <c r="G46" s="19" t="s">
        <v>962</v>
      </c>
      <c r="H46" s="27"/>
      <c r="I46" s="19" t="s">
        <v>962</v>
      </c>
      <c r="J46" s="27"/>
      <c r="K46" s="19" t="s">
        <v>962</v>
      </c>
      <c r="L46" s="27"/>
      <c r="M46" s="19" t="s">
        <v>962</v>
      </c>
      <c r="N46" s="27"/>
      <c r="O46" s="19" t="s">
        <v>962</v>
      </c>
      <c r="P46" s="27"/>
      <c r="Q46" s="19" t="s">
        <v>962</v>
      </c>
      <c r="R46" s="21">
        <f t="shared" si="1"/>
        <v>264750</v>
      </c>
      <c r="S46" s="22" t="s">
        <v>962</v>
      </c>
      <c r="Z46" s="17">
        <v>264750</v>
      </c>
    </row>
    <row r="47" spans="2:26" ht="19.7" customHeight="1" x14ac:dyDescent="0.2">
      <c r="B47" s="18" t="s">
        <v>846</v>
      </c>
      <c r="C47" s="19" t="s">
        <v>681</v>
      </c>
      <c r="D47" s="19" t="s">
        <v>221</v>
      </c>
      <c r="E47" s="20" t="s">
        <v>618</v>
      </c>
      <c r="F47" s="27">
        <v>243150</v>
      </c>
      <c r="G47" s="19" t="s">
        <v>962</v>
      </c>
      <c r="H47" s="27"/>
      <c r="I47" s="19" t="s">
        <v>962</v>
      </c>
      <c r="J47" s="27"/>
      <c r="K47" s="19" t="s">
        <v>962</v>
      </c>
      <c r="L47" s="27"/>
      <c r="M47" s="19" t="s">
        <v>962</v>
      </c>
      <c r="N47" s="27"/>
      <c r="O47" s="19" t="s">
        <v>962</v>
      </c>
      <c r="P47" s="27"/>
      <c r="Q47" s="19" t="s">
        <v>962</v>
      </c>
      <c r="R47" s="21">
        <f t="shared" si="1"/>
        <v>243150</v>
      </c>
      <c r="S47" s="22" t="s">
        <v>962</v>
      </c>
      <c r="Z47" s="17">
        <v>243150</v>
      </c>
    </row>
    <row r="48" spans="2:26" ht="19.7" customHeight="1" x14ac:dyDescent="0.2">
      <c r="B48" s="18" t="s">
        <v>260</v>
      </c>
      <c r="C48" s="19" t="s">
        <v>681</v>
      </c>
      <c r="D48" s="19" t="s">
        <v>309</v>
      </c>
      <c r="E48" s="20" t="s">
        <v>618</v>
      </c>
      <c r="F48" s="27">
        <v>34440</v>
      </c>
      <c r="G48" s="19" t="s">
        <v>962</v>
      </c>
      <c r="H48" s="27"/>
      <c r="I48" s="19" t="s">
        <v>962</v>
      </c>
      <c r="J48" s="27"/>
      <c r="K48" s="19" t="s">
        <v>962</v>
      </c>
      <c r="L48" s="27"/>
      <c r="M48" s="19" t="s">
        <v>962</v>
      </c>
      <c r="N48" s="27"/>
      <c r="O48" s="19" t="s">
        <v>962</v>
      </c>
      <c r="P48" s="27"/>
      <c r="Q48" s="19" t="s">
        <v>962</v>
      </c>
      <c r="R48" s="21">
        <f t="shared" si="1"/>
        <v>34440</v>
      </c>
      <c r="S48" s="22" t="s">
        <v>962</v>
      </c>
      <c r="Z48" s="17">
        <v>34440</v>
      </c>
    </row>
    <row r="49" spans="2:26" ht="19.7" customHeight="1" x14ac:dyDescent="0.2">
      <c r="B49" s="18" t="s">
        <v>797</v>
      </c>
      <c r="C49" s="19" t="s">
        <v>362</v>
      </c>
      <c r="D49" s="19" t="s">
        <v>698</v>
      </c>
      <c r="E49" s="20" t="s">
        <v>274</v>
      </c>
      <c r="F49" s="27">
        <v>5000</v>
      </c>
      <c r="G49" s="19" t="s">
        <v>962</v>
      </c>
      <c r="H49" s="27"/>
      <c r="I49" s="19" t="s">
        <v>962</v>
      </c>
      <c r="J49" s="27"/>
      <c r="K49" s="19" t="s">
        <v>962</v>
      </c>
      <c r="L49" s="27"/>
      <c r="M49" s="19" t="s">
        <v>962</v>
      </c>
      <c r="N49" s="27"/>
      <c r="O49" s="19" t="s">
        <v>962</v>
      </c>
      <c r="P49" s="27"/>
      <c r="Q49" s="19" t="s">
        <v>962</v>
      </c>
      <c r="R49" s="21">
        <f t="shared" si="1"/>
        <v>5000</v>
      </c>
      <c r="S49" s="22" t="s">
        <v>962</v>
      </c>
      <c r="Z49" s="17">
        <v>5000</v>
      </c>
    </row>
    <row r="50" spans="2:26" ht="19.7" customHeight="1" x14ac:dyDescent="0.2">
      <c r="B50" s="18" t="s">
        <v>425</v>
      </c>
      <c r="C50" s="19" t="s">
        <v>362</v>
      </c>
      <c r="D50" s="19" t="s">
        <v>910</v>
      </c>
      <c r="E50" s="20" t="s">
        <v>274</v>
      </c>
      <c r="F50" s="27">
        <v>8000</v>
      </c>
      <c r="G50" s="19" t="s">
        <v>962</v>
      </c>
      <c r="H50" s="27"/>
      <c r="I50" s="19" t="s">
        <v>962</v>
      </c>
      <c r="J50" s="27"/>
      <c r="K50" s="19" t="s">
        <v>962</v>
      </c>
      <c r="L50" s="27"/>
      <c r="M50" s="19" t="s">
        <v>962</v>
      </c>
      <c r="N50" s="27"/>
      <c r="O50" s="19" t="s">
        <v>962</v>
      </c>
      <c r="P50" s="27"/>
      <c r="Q50" s="19" t="s">
        <v>962</v>
      </c>
      <c r="R50" s="21">
        <f t="shared" si="1"/>
        <v>8000</v>
      </c>
      <c r="S50" s="22" t="s">
        <v>962</v>
      </c>
      <c r="Z50" s="17">
        <v>8000</v>
      </c>
    </row>
    <row r="51" spans="2:26" ht="19.7" customHeight="1" x14ac:dyDescent="0.2">
      <c r="B51" s="18" t="s">
        <v>931</v>
      </c>
      <c r="C51" s="19" t="s">
        <v>362</v>
      </c>
      <c r="D51" s="19" t="s">
        <v>658</v>
      </c>
      <c r="E51" s="20" t="s">
        <v>274</v>
      </c>
      <c r="F51" s="27">
        <v>10000</v>
      </c>
      <c r="G51" s="19" t="s">
        <v>962</v>
      </c>
      <c r="H51" s="27"/>
      <c r="I51" s="19" t="s">
        <v>962</v>
      </c>
      <c r="J51" s="27"/>
      <c r="K51" s="19" t="s">
        <v>962</v>
      </c>
      <c r="L51" s="27"/>
      <c r="M51" s="19" t="s">
        <v>962</v>
      </c>
      <c r="N51" s="27"/>
      <c r="O51" s="19" t="s">
        <v>962</v>
      </c>
      <c r="P51" s="27"/>
      <c r="Q51" s="19" t="s">
        <v>962</v>
      </c>
      <c r="R51" s="21">
        <f t="shared" si="1"/>
        <v>10000</v>
      </c>
      <c r="S51" s="22" t="s">
        <v>962</v>
      </c>
      <c r="Z51" s="17">
        <v>10000</v>
      </c>
    </row>
    <row r="52" spans="2:26" ht="19.7" customHeight="1" x14ac:dyDescent="0.2">
      <c r="B52" s="18" t="s">
        <v>407</v>
      </c>
      <c r="C52" s="19" t="s">
        <v>352</v>
      </c>
      <c r="D52" s="19" t="s">
        <v>962</v>
      </c>
      <c r="E52" s="20" t="s">
        <v>761</v>
      </c>
      <c r="F52" s="27">
        <v>3430</v>
      </c>
      <c r="G52" s="19" t="s">
        <v>962</v>
      </c>
      <c r="H52" s="27"/>
      <c r="I52" s="19" t="s">
        <v>962</v>
      </c>
      <c r="J52" s="27"/>
      <c r="K52" s="19" t="s">
        <v>962</v>
      </c>
      <c r="L52" s="27"/>
      <c r="M52" s="19" t="s">
        <v>962</v>
      </c>
      <c r="N52" s="27"/>
      <c r="O52" s="19" t="s">
        <v>962</v>
      </c>
      <c r="P52" s="27"/>
      <c r="Q52" s="19" t="s">
        <v>962</v>
      </c>
      <c r="R52" s="21">
        <f t="shared" si="1"/>
        <v>3430</v>
      </c>
      <c r="S52" s="22" t="s">
        <v>962</v>
      </c>
      <c r="Z52" s="17">
        <v>3430</v>
      </c>
    </row>
    <row r="53" spans="2:26" ht="19.7" customHeight="1" x14ac:dyDescent="0.2">
      <c r="B53" s="18" t="s">
        <v>963</v>
      </c>
      <c r="C53" s="19" t="s">
        <v>24</v>
      </c>
      <c r="D53" s="19" t="s">
        <v>902</v>
      </c>
      <c r="E53" s="20" t="s">
        <v>596</v>
      </c>
      <c r="F53" s="27">
        <v>33000</v>
      </c>
      <c r="G53" s="19" t="s">
        <v>962</v>
      </c>
      <c r="H53" s="27"/>
      <c r="I53" s="19" t="s">
        <v>962</v>
      </c>
      <c r="J53" s="27"/>
      <c r="K53" s="19" t="s">
        <v>962</v>
      </c>
      <c r="L53" s="27"/>
      <c r="M53" s="19" t="s">
        <v>962</v>
      </c>
      <c r="N53" s="27"/>
      <c r="O53" s="19" t="s">
        <v>962</v>
      </c>
      <c r="P53" s="27"/>
      <c r="Q53" s="19" t="s">
        <v>962</v>
      </c>
      <c r="R53" s="21">
        <f t="shared" si="1"/>
        <v>33000</v>
      </c>
      <c r="S53" s="22" t="s">
        <v>962</v>
      </c>
      <c r="Z53" s="17">
        <v>33000</v>
      </c>
    </row>
    <row r="54" spans="2:26" ht="19.7" customHeight="1" x14ac:dyDescent="0.2">
      <c r="B54" s="18" t="s">
        <v>100</v>
      </c>
      <c r="C54" s="19" t="s">
        <v>54</v>
      </c>
      <c r="D54" s="19" t="s">
        <v>962</v>
      </c>
      <c r="E54" s="20" t="s">
        <v>596</v>
      </c>
      <c r="F54" s="27">
        <v>187000</v>
      </c>
      <c r="G54" s="19" t="s">
        <v>962</v>
      </c>
      <c r="H54" s="27"/>
      <c r="I54" s="19" t="s">
        <v>962</v>
      </c>
      <c r="J54" s="27"/>
      <c r="K54" s="19" t="s">
        <v>962</v>
      </c>
      <c r="L54" s="27"/>
      <c r="M54" s="19" t="s">
        <v>962</v>
      </c>
      <c r="N54" s="27"/>
      <c r="O54" s="19" t="s">
        <v>962</v>
      </c>
      <c r="P54" s="27"/>
      <c r="Q54" s="19" t="s">
        <v>962</v>
      </c>
      <c r="R54" s="21">
        <f t="shared" si="1"/>
        <v>187000</v>
      </c>
      <c r="S54" s="22" t="s">
        <v>962</v>
      </c>
      <c r="Z54" s="17">
        <v>187000</v>
      </c>
    </row>
    <row r="55" spans="2:26" ht="19.7" customHeight="1" x14ac:dyDescent="0.2">
      <c r="B55" s="18" t="s">
        <v>530</v>
      </c>
      <c r="C55" s="19" t="s">
        <v>611</v>
      </c>
      <c r="D55" s="19" t="s">
        <v>962</v>
      </c>
      <c r="E55" s="20" t="s">
        <v>274</v>
      </c>
      <c r="F55" s="27">
        <v>5000</v>
      </c>
      <c r="G55" s="19" t="s">
        <v>962</v>
      </c>
      <c r="H55" s="27"/>
      <c r="I55" s="19" t="s">
        <v>962</v>
      </c>
      <c r="J55" s="27"/>
      <c r="K55" s="19" t="s">
        <v>962</v>
      </c>
      <c r="L55" s="27"/>
      <c r="M55" s="19" t="s">
        <v>962</v>
      </c>
      <c r="N55" s="27"/>
      <c r="O55" s="19" t="s">
        <v>962</v>
      </c>
      <c r="P55" s="27"/>
      <c r="Q55" s="19" t="s">
        <v>962</v>
      </c>
      <c r="R55" s="21">
        <f t="shared" si="1"/>
        <v>5000</v>
      </c>
      <c r="S55" s="22" t="s">
        <v>962</v>
      </c>
      <c r="Z55" s="17">
        <v>5000</v>
      </c>
    </row>
    <row r="56" spans="2:26" ht="19.7" customHeight="1" x14ac:dyDescent="0.2">
      <c r="B56" s="18" t="s">
        <v>215</v>
      </c>
      <c r="C56" s="19" t="s">
        <v>40</v>
      </c>
      <c r="D56" s="19" t="s">
        <v>770</v>
      </c>
      <c r="E56" s="20" t="s">
        <v>274</v>
      </c>
      <c r="F56" s="27">
        <v>120000</v>
      </c>
      <c r="G56" s="19" t="s">
        <v>962</v>
      </c>
      <c r="H56" s="27"/>
      <c r="I56" s="19" t="s">
        <v>962</v>
      </c>
      <c r="J56" s="27"/>
      <c r="K56" s="19" t="s">
        <v>962</v>
      </c>
      <c r="L56" s="27"/>
      <c r="M56" s="19" t="s">
        <v>962</v>
      </c>
      <c r="N56" s="27"/>
      <c r="O56" s="19" t="s">
        <v>962</v>
      </c>
      <c r="P56" s="27"/>
      <c r="Q56" s="19" t="s">
        <v>962</v>
      </c>
      <c r="R56" s="21">
        <f t="shared" si="1"/>
        <v>120000</v>
      </c>
      <c r="S56" s="22" t="s">
        <v>962</v>
      </c>
      <c r="Z56" s="17">
        <v>120000</v>
      </c>
    </row>
    <row r="57" spans="2:26" ht="19.7" customHeight="1" x14ac:dyDescent="0.2">
      <c r="B57" s="18" t="s">
        <v>600</v>
      </c>
      <c r="C57" s="19" t="s">
        <v>917</v>
      </c>
      <c r="D57" s="19" t="s">
        <v>236</v>
      </c>
      <c r="E57" s="20" t="s">
        <v>444</v>
      </c>
      <c r="F57" s="27">
        <v>534860</v>
      </c>
      <c r="G57" s="19" t="s">
        <v>962</v>
      </c>
      <c r="H57" s="27"/>
      <c r="I57" s="19" t="s">
        <v>962</v>
      </c>
      <c r="J57" s="27"/>
      <c r="K57" s="19" t="s">
        <v>962</v>
      </c>
      <c r="L57" s="27"/>
      <c r="M57" s="19" t="s">
        <v>962</v>
      </c>
      <c r="N57" s="27"/>
      <c r="O57" s="19" t="s">
        <v>962</v>
      </c>
      <c r="P57" s="27"/>
      <c r="Q57" s="19" t="s">
        <v>962</v>
      </c>
      <c r="R57" s="21">
        <f t="shared" si="1"/>
        <v>534860</v>
      </c>
      <c r="S57" s="22" t="s">
        <v>962</v>
      </c>
      <c r="Z57" s="17">
        <v>534860</v>
      </c>
    </row>
    <row r="58" spans="2:26" ht="19.7" customHeight="1" x14ac:dyDescent="0.2">
      <c r="B58" s="18" t="s">
        <v>12</v>
      </c>
      <c r="C58" s="19" t="s">
        <v>917</v>
      </c>
      <c r="D58" s="19" t="s">
        <v>249</v>
      </c>
      <c r="E58" s="20" t="s">
        <v>444</v>
      </c>
      <c r="F58" s="27">
        <v>132500</v>
      </c>
      <c r="G58" s="19" t="s">
        <v>962</v>
      </c>
      <c r="H58" s="27"/>
      <c r="I58" s="19" t="s">
        <v>962</v>
      </c>
      <c r="J58" s="27"/>
      <c r="K58" s="19" t="s">
        <v>962</v>
      </c>
      <c r="L58" s="27"/>
      <c r="M58" s="19" t="s">
        <v>962</v>
      </c>
      <c r="N58" s="27"/>
      <c r="O58" s="19" t="s">
        <v>962</v>
      </c>
      <c r="P58" s="27"/>
      <c r="Q58" s="19" t="s">
        <v>962</v>
      </c>
      <c r="R58" s="21">
        <f t="shared" si="1"/>
        <v>132500</v>
      </c>
      <c r="S58" s="22" t="s">
        <v>962</v>
      </c>
      <c r="Z58" s="17">
        <v>132500</v>
      </c>
    </row>
    <row r="59" spans="2:26" ht="19.7" customHeight="1" x14ac:dyDescent="0.2">
      <c r="B59" s="18" t="s">
        <v>558</v>
      </c>
      <c r="C59" s="19" t="s">
        <v>128</v>
      </c>
      <c r="D59" s="19" t="s">
        <v>962</v>
      </c>
      <c r="E59" s="20" t="s">
        <v>769</v>
      </c>
      <c r="F59" s="27">
        <v>4848</v>
      </c>
      <c r="G59" s="19" t="s">
        <v>962</v>
      </c>
      <c r="H59" s="27"/>
      <c r="I59" s="19" t="s">
        <v>962</v>
      </c>
      <c r="J59" s="27"/>
      <c r="K59" s="19" t="s">
        <v>962</v>
      </c>
      <c r="L59" s="27"/>
      <c r="M59" s="19" t="s">
        <v>962</v>
      </c>
      <c r="N59" s="27"/>
      <c r="O59" s="19" t="s">
        <v>962</v>
      </c>
      <c r="P59" s="27"/>
      <c r="Q59" s="19" t="s">
        <v>962</v>
      </c>
      <c r="R59" s="21">
        <f t="shared" si="1"/>
        <v>4848</v>
      </c>
      <c r="S59" s="22" t="s">
        <v>962</v>
      </c>
      <c r="Z59" s="17">
        <v>4848</v>
      </c>
    </row>
    <row r="60" spans="2:26" ht="19.7" customHeight="1" x14ac:dyDescent="0.2">
      <c r="B60" s="23" t="s">
        <v>185</v>
      </c>
      <c r="C60" s="24" t="s">
        <v>662</v>
      </c>
      <c r="D60" s="24" t="s">
        <v>448</v>
      </c>
      <c r="E60" s="25" t="s">
        <v>366</v>
      </c>
      <c r="F60" s="10">
        <v>1338</v>
      </c>
      <c r="G60" s="24" t="s">
        <v>962</v>
      </c>
      <c r="H60" s="10"/>
      <c r="I60" s="24" t="s">
        <v>962</v>
      </c>
      <c r="J60" s="10"/>
      <c r="K60" s="24" t="s">
        <v>962</v>
      </c>
      <c r="L60" s="10"/>
      <c r="M60" s="24" t="s">
        <v>962</v>
      </c>
      <c r="N60" s="10"/>
      <c r="O60" s="24" t="s">
        <v>962</v>
      </c>
      <c r="P60" s="10"/>
      <c r="Q60" s="24" t="s">
        <v>962</v>
      </c>
      <c r="R60" s="11">
        <f t="shared" si="1"/>
        <v>1338</v>
      </c>
      <c r="S60" s="26" t="s">
        <v>962</v>
      </c>
      <c r="Z60" s="17">
        <v>1338</v>
      </c>
    </row>
    <row r="61" spans="2:26" ht="19.7" customHeight="1" x14ac:dyDescent="0.2">
      <c r="B61" s="18" t="s">
        <v>686</v>
      </c>
      <c r="C61" s="19" t="s">
        <v>300</v>
      </c>
      <c r="D61" s="19" t="s">
        <v>791</v>
      </c>
      <c r="E61" s="20" t="s">
        <v>678</v>
      </c>
      <c r="F61" s="27">
        <v>1000000</v>
      </c>
      <c r="G61" s="19" t="s">
        <v>962</v>
      </c>
      <c r="H61" s="27"/>
      <c r="I61" s="19" t="s">
        <v>962</v>
      </c>
      <c r="J61" s="27"/>
      <c r="K61" s="19" t="s">
        <v>962</v>
      </c>
      <c r="L61" s="27"/>
      <c r="M61" s="19" t="s">
        <v>962</v>
      </c>
      <c r="N61" s="27"/>
      <c r="O61" s="19" t="s">
        <v>962</v>
      </c>
      <c r="P61" s="27"/>
      <c r="Q61" s="19" t="s">
        <v>962</v>
      </c>
      <c r="R61" s="21">
        <f t="shared" si="1"/>
        <v>1000000</v>
      </c>
      <c r="S61" s="22" t="s">
        <v>962</v>
      </c>
      <c r="Z61" s="17">
        <v>1000000</v>
      </c>
    </row>
    <row r="62" spans="2:26" ht="19.7" customHeight="1" x14ac:dyDescent="0.2">
      <c r="B62" s="18" t="s">
        <v>155</v>
      </c>
      <c r="C62" s="19" t="s">
        <v>4</v>
      </c>
      <c r="D62" s="19" t="s">
        <v>906</v>
      </c>
      <c r="E62" s="20" t="s">
        <v>678</v>
      </c>
      <c r="F62" s="27">
        <v>1150000</v>
      </c>
      <c r="G62" s="19" t="s">
        <v>962</v>
      </c>
      <c r="H62" s="27"/>
      <c r="I62" s="19" t="s">
        <v>962</v>
      </c>
      <c r="J62" s="27"/>
      <c r="K62" s="19" t="s">
        <v>962</v>
      </c>
      <c r="L62" s="27"/>
      <c r="M62" s="19" t="s">
        <v>962</v>
      </c>
      <c r="N62" s="27"/>
      <c r="O62" s="19" t="s">
        <v>962</v>
      </c>
      <c r="P62" s="27"/>
      <c r="Q62" s="19" t="s">
        <v>962</v>
      </c>
      <c r="R62" s="21">
        <f t="shared" si="1"/>
        <v>1150000</v>
      </c>
      <c r="S62" s="22" t="s">
        <v>962</v>
      </c>
      <c r="Z62" s="17">
        <v>1150000</v>
      </c>
    </row>
    <row r="63" spans="2:26" ht="19.7" customHeight="1" x14ac:dyDescent="0.2">
      <c r="B63" s="18" t="s">
        <v>716</v>
      </c>
      <c r="C63" s="19" t="s">
        <v>4</v>
      </c>
      <c r="D63" s="19" t="s">
        <v>325</v>
      </c>
      <c r="E63" s="20" t="s">
        <v>678</v>
      </c>
      <c r="F63" s="27">
        <v>1150000</v>
      </c>
      <c r="G63" s="19" t="s">
        <v>962</v>
      </c>
      <c r="H63" s="27"/>
      <c r="I63" s="19" t="s">
        <v>962</v>
      </c>
      <c r="J63" s="27"/>
      <c r="K63" s="19" t="s">
        <v>962</v>
      </c>
      <c r="L63" s="27"/>
      <c r="M63" s="19" t="s">
        <v>962</v>
      </c>
      <c r="N63" s="27"/>
      <c r="O63" s="19" t="s">
        <v>962</v>
      </c>
      <c r="P63" s="27"/>
      <c r="Q63" s="19" t="s">
        <v>962</v>
      </c>
      <c r="R63" s="21">
        <f t="shared" si="1"/>
        <v>1150000</v>
      </c>
      <c r="S63" s="22" t="s">
        <v>962</v>
      </c>
      <c r="Z63" s="17">
        <v>1150000</v>
      </c>
    </row>
    <row r="64" spans="2:26" ht="19.7" customHeight="1" x14ac:dyDescent="0.2">
      <c r="B64" s="18" t="s">
        <v>818</v>
      </c>
      <c r="C64" s="19" t="s">
        <v>423</v>
      </c>
      <c r="D64" s="19" t="s">
        <v>532</v>
      </c>
      <c r="E64" s="20" t="s">
        <v>366</v>
      </c>
      <c r="F64" s="27">
        <v>5160</v>
      </c>
      <c r="G64" s="19" t="s">
        <v>962</v>
      </c>
      <c r="H64" s="27"/>
      <c r="I64" s="19" t="s">
        <v>962</v>
      </c>
      <c r="J64" s="27"/>
      <c r="K64" s="19" t="s">
        <v>962</v>
      </c>
      <c r="L64" s="27"/>
      <c r="M64" s="19" t="s">
        <v>962</v>
      </c>
      <c r="N64" s="27"/>
      <c r="O64" s="19" t="s">
        <v>962</v>
      </c>
      <c r="P64" s="27"/>
      <c r="Q64" s="19" t="s">
        <v>962</v>
      </c>
      <c r="R64" s="21">
        <f t="shared" si="1"/>
        <v>5160</v>
      </c>
      <c r="S64" s="22" t="s">
        <v>962</v>
      </c>
      <c r="Z64" s="17">
        <v>5160</v>
      </c>
    </row>
    <row r="65" spans="2:26" ht="19.7" customHeight="1" x14ac:dyDescent="0.2">
      <c r="B65" s="18" t="s">
        <v>306</v>
      </c>
      <c r="C65" s="19" t="s">
        <v>321</v>
      </c>
      <c r="D65" s="19" t="s">
        <v>927</v>
      </c>
      <c r="E65" s="20" t="s">
        <v>678</v>
      </c>
      <c r="F65" s="27">
        <v>885000</v>
      </c>
      <c r="G65" s="19" t="s">
        <v>962</v>
      </c>
      <c r="H65" s="27"/>
      <c r="I65" s="19" t="s">
        <v>962</v>
      </c>
      <c r="J65" s="27"/>
      <c r="K65" s="19" t="s">
        <v>962</v>
      </c>
      <c r="L65" s="27"/>
      <c r="M65" s="19" t="s">
        <v>962</v>
      </c>
      <c r="N65" s="27"/>
      <c r="O65" s="19" t="s">
        <v>962</v>
      </c>
      <c r="P65" s="27"/>
      <c r="Q65" s="19" t="s">
        <v>962</v>
      </c>
      <c r="R65" s="21">
        <f t="shared" si="1"/>
        <v>885000</v>
      </c>
      <c r="S65" s="22" t="s">
        <v>962</v>
      </c>
      <c r="Z65" s="17">
        <v>885000</v>
      </c>
    </row>
    <row r="66" spans="2:26" ht="19.7" customHeight="1" x14ac:dyDescent="0.2">
      <c r="B66" s="18" t="s">
        <v>918</v>
      </c>
      <c r="C66" s="19" t="s">
        <v>321</v>
      </c>
      <c r="D66" s="19" t="s">
        <v>762</v>
      </c>
      <c r="E66" s="20" t="s">
        <v>678</v>
      </c>
      <c r="F66" s="27">
        <v>885000</v>
      </c>
      <c r="G66" s="19" t="s">
        <v>962</v>
      </c>
      <c r="H66" s="27"/>
      <c r="I66" s="19" t="s">
        <v>962</v>
      </c>
      <c r="J66" s="27"/>
      <c r="K66" s="19" t="s">
        <v>962</v>
      </c>
      <c r="L66" s="27"/>
      <c r="M66" s="19" t="s">
        <v>962</v>
      </c>
      <c r="N66" s="27"/>
      <c r="O66" s="19" t="s">
        <v>962</v>
      </c>
      <c r="P66" s="27"/>
      <c r="Q66" s="19" t="s">
        <v>962</v>
      </c>
      <c r="R66" s="21">
        <f t="shared" si="1"/>
        <v>885000</v>
      </c>
      <c r="S66" s="22" t="s">
        <v>962</v>
      </c>
      <c r="Z66" s="17">
        <v>885000</v>
      </c>
    </row>
    <row r="67" spans="2:26" ht="19.7" customHeight="1" x14ac:dyDescent="0.2">
      <c r="B67" s="18" t="s">
        <v>381</v>
      </c>
      <c r="C67" s="19" t="s">
        <v>839</v>
      </c>
      <c r="D67" s="19" t="s">
        <v>287</v>
      </c>
      <c r="E67" s="20" t="s">
        <v>569</v>
      </c>
      <c r="F67" s="27">
        <v>3600</v>
      </c>
      <c r="G67" s="19" t="s">
        <v>962</v>
      </c>
      <c r="H67" s="27"/>
      <c r="I67" s="19" t="s">
        <v>962</v>
      </c>
      <c r="J67" s="27"/>
      <c r="K67" s="19" t="s">
        <v>962</v>
      </c>
      <c r="L67" s="27"/>
      <c r="M67" s="19" t="s">
        <v>962</v>
      </c>
      <c r="N67" s="27"/>
      <c r="O67" s="19" t="s">
        <v>962</v>
      </c>
      <c r="P67" s="27"/>
      <c r="Q67" s="19" t="s">
        <v>962</v>
      </c>
      <c r="R67" s="21">
        <f t="shared" si="1"/>
        <v>3600</v>
      </c>
      <c r="S67" s="22" t="s">
        <v>962</v>
      </c>
      <c r="Z67" s="17">
        <v>3600</v>
      </c>
    </row>
    <row r="68" spans="2:26" ht="19.7" customHeight="1" x14ac:dyDescent="0.2">
      <c r="B68" s="18" t="s">
        <v>723</v>
      </c>
      <c r="C68" s="19" t="s">
        <v>191</v>
      </c>
      <c r="D68" s="19" t="s">
        <v>533</v>
      </c>
      <c r="E68" s="20" t="s">
        <v>569</v>
      </c>
      <c r="F68" s="27">
        <v>845</v>
      </c>
      <c r="G68" s="19" t="s">
        <v>962</v>
      </c>
      <c r="H68" s="27"/>
      <c r="I68" s="19" t="s">
        <v>962</v>
      </c>
      <c r="J68" s="27"/>
      <c r="K68" s="19" t="s">
        <v>962</v>
      </c>
      <c r="L68" s="27"/>
      <c r="M68" s="19" t="s">
        <v>962</v>
      </c>
      <c r="N68" s="27"/>
      <c r="O68" s="19" t="s">
        <v>962</v>
      </c>
      <c r="P68" s="27"/>
      <c r="Q68" s="19" t="s">
        <v>962</v>
      </c>
      <c r="R68" s="21">
        <f t="shared" si="1"/>
        <v>845</v>
      </c>
      <c r="S68" s="22" t="s">
        <v>962</v>
      </c>
      <c r="Z68" s="17">
        <v>845</v>
      </c>
    </row>
    <row r="69" spans="2:26" ht="19.7" customHeight="1" x14ac:dyDescent="0.2">
      <c r="B69" s="18" t="s">
        <v>337</v>
      </c>
      <c r="C69" s="19" t="s">
        <v>323</v>
      </c>
      <c r="D69" s="19" t="s">
        <v>149</v>
      </c>
      <c r="E69" s="20" t="s">
        <v>955</v>
      </c>
      <c r="F69" s="27">
        <v>1070000</v>
      </c>
      <c r="G69" s="19" t="s">
        <v>962</v>
      </c>
      <c r="H69" s="27"/>
      <c r="I69" s="19" t="s">
        <v>962</v>
      </c>
      <c r="J69" s="27"/>
      <c r="K69" s="19" t="s">
        <v>962</v>
      </c>
      <c r="L69" s="27"/>
      <c r="M69" s="19" t="s">
        <v>962</v>
      </c>
      <c r="N69" s="27"/>
      <c r="O69" s="19" t="s">
        <v>962</v>
      </c>
      <c r="P69" s="27"/>
      <c r="Q69" s="19" t="s">
        <v>962</v>
      </c>
      <c r="R69" s="21">
        <f t="shared" ref="R69:R100" si="2">MIN(F69,H69,J69,L69,N69,P69)</f>
        <v>1070000</v>
      </c>
      <c r="S69" s="22" t="s">
        <v>962</v>
      </c>
      <c r="Z69" s="17">
        <v>1070000</v>
      </c>
    </row>
    <row r="70" spans="2:26" ht="19.7" customHeight="1" x14ac:dyDescent="0.2">
      <c r="B70" s="18" t="s">
        <v>885</v>
      </c>
      <c r="C70" s="19" t="s">
        <v>83</v>
      </c>
      <c r="D70" s="19" t="s">
        <v>873</v>
      </c>
      <c r="E70" s="20" t="s">
        <v>678</v>
      </c>
      <c r="F70" s="27">
        <v>1228000</v>
      </c>
      <c r="G70" s="19" t="s">
        <v>962</v>
      </c>
      <c r="H70" s="27"/>
      <c r="I70" s="19" t="s">
        <v>962</v>
      </c>
      <c r="J70" s="27"/>
      <c r="K70" s="19" t="s">
        <v>962</v>
      </c>
      <c r="L70" s="27"/>
      <c r="M70" s="19" t="s">
        <v>962</v>
      </c>
      <c r="N70" s="27"/>
      <c r="O70" s="19" t="s">
        <v>962</v>
      </c>
      <c r="P70" s="27"/>
      <c r="Q70" s="19" t="s">
        <v>962</v>
      </c>
      <c r="R70" s="21">
        <f t="shared" si="2"/>
        <v>1228000</v>
      </c>
      <c r="S70" s="22" t="s">
        <v>962</v>
      </c>
      <c r="Z70" s="17">
        <v>1228000</v>
      </c>
    </row>
    <row r="71" spans="2:26" ht="19.7" customHeight="1" x14ac:dyDescent="0.2">
      <c r="B71" s="18" t="s">
        <v>466</v>
      </c>
      <c r="C71" s="19" t="s">
        <v>343</v>
      </c>
      <c r="D71" s="19" t="s">
        <v>418</v>
      </c>
      <c r="E71" s="20" t="s">
        <v>366</v>
      </c>
      <c r="F71" s="27">
        <v>106030</v>
      </c>
      <c r="G71" s="19" t="s">
        <v>962</v>
      </c>
      <c r="H71" s="27"/>
      <c r="I71" s="19" t="s">
        <v>962</v>
      </c>
      <c r="J71" s="27"/>
      <c r="K71" s="19" t="s">
        <v>962</v>
      </c>
      <c r="L71" s="27"/>
      <c r="M71" s="19" t="s">
        <v>962</v>
      </c>
      <c r="N71" s="27"/>
      <c r="O71" s="19" t="s">
        <v>962</v>
      </c>
      <c r="P71" s="27"/>
      <c r="Q71" s="19" t="s">
        <v>962</v>
      </c>
      <c r="R71" s="21">
        <f t="shared" si="2"/>
        <v>106030</v>
      </c>
      <c r="S71" s="22" t="s">
        <v>962</v>
      </c>
      <c r="Z71" s="17">
        <v>106030</v>
      </c>
    </row>
    <row r="72" spans="2:26" ht="19.7" customHeight="1" x14ac:dyDescent="0.2">
      <c r="B72" s="18" t="s">
        <v>878</v>
      </c>
      <c r="C72" s="19" t="s">
        <v>669</v>
      </c>
      <c r="D72" s="19" t="s">
        <v>420</v>
      </c>
      <c r="E72" s="20" t="s">
        <v>769</v>
      </c>
      <c r="F72" s="27">
        <v>12000</v>
      </c>
      <c r="G72" s="19" t="s">
        <v>962</v>
      </c>
      <c r="H72" s="27"/>
      <c r="I72" s="19" t="s">
        <v>962</v>
      </c>
      <c r="J72" s="27"/>
      <c r="K72" s="19" t="s">
        <v>962</v>
      </c>
      <c r="L72" s="27"/>
      <c r="M72" s="19" t="s">
        <v>962</v>
      </c>
      <c r="N72" s="27"/>
      <c r="O72" s="19" t="s">
        <v>962</v>
      </c>
      <c r="P72" s="27"/>
      <c r="Q72" s="19" t="s">
        <v>962</v>
      </c>
      <c r="R72" s="21">
        <f t="shared" si="2"/>
        <v>12000</v>
      </c>
      <c r="S72" s="22" t="s">
        <v>962</v>
      </c>
      <c r="Z72" s="17">
        <v>12000</v>
      </c>
    </row>
    <row r="73" spans="2:26" ht="19.7" customHeight="1" x14ac:dyDescent="0.2">
      <c r="B73" s="18" t="s">
        <v>481</v>
      </c>
      <c r="C73" s="19" t="s">
        <v>825</v>
      </c>
      <c r="D73" s="19" t="s">
        <v>376</v>
      </c>
      <c r="E73" s="20" t="s">
        <v>596</v>
      </c>
      <c r="F73" s="27">
        <v>2900</v>
      </c>
      <c r="G73" s="19" t="s">
        <v>962</v>
      </c>
      <c r="H73" s="27"/>
      <c r="I73" s="19" t="s">
        <v>962</v>
      </c>
      <c r="J73" s="27"/>
      <c r="K73" s="19" t="s">
        <v>962</v>
      </c>
      <c r="L73" s="27"/>
      <c r="M73" s="19" t="s">
        <v>962</v>
      </c>
      <c r="N73" s="27"/>
      <c r="O73" s="19" t="s">
        <v>962</v>
      </c>
      <c r="P73" s="27"/>
      <c r="Q73" s="19" t="s">
        <v>962</v>
      </c>
      <c r="R73" s="21">
        <f t="shared" si="2"/>
        <v>2900</v>
      </c>
      <c r="S73" s="22" t="s">
        <v>962</v>
      </c>
      <c r="Z73" s="17">
        <v>2900</v>
      </c>
    </row>
    <row r="74" spans="2:26" ht="19.7" customHeight="1" x14ac:dyDescent="0.2">
      <c r="B74" s="18" t="s">
        <v>571</v>
      </c>
      <c r="C74" s="19" t="s">
        <v>670</v>
      </c>
      <c r="D74" s="19" t="s">
        <v>751</v>
      </c>
      <c r="E74" s="20" t="s">
        <v>695</v>
      </c>
      <c r="F74" s="27">
        <v>528153</v>
      </c>
      <c r="G74" s="19" t="s">
        <v>962</v>
      </c>
      <c r="H74" s="27"/>
      <c r="I74" s="19" t="s">
        <v>962</v>
      </c>
      <c r="J74" s="27"/>
      <c r="K74" s="19" t="s">
        <v>962</v>
      </c>
      <c r="L74" s="27"/>
      <c r="M74" s="19" t="s">
        <v>962</v>
      </c>
      <c r="N74" s="27"/>
      <c r="O74" s="19" t="s">
        <v>962</v>
      </c>
      <c r="P74" s="27"/>
      <c r="Q74" s="19" t="s">
        <v>962</v>
      </c>
      <c r="R74" s="21">
        <f t="shared" si="2"/>
        <v>528153</v>
      </c>
      <c r="S74" s="22" t="s">
        <v>962</v>
      </c>
      <c r="Z74" s="17">
        <v>528153</v>
      </c>
    </row>
    <row r="75" spans="2:26" ht="19.7" customHeight="1" x14ac:dyDescent="0.2">
      <c r="B75" s="18" t="s">
        <v>62</v>
      </c>
      <c r="C75" s="19" t="s">
        <v>498</v>
      </c>
      <c r="D75" s="19" t="s">
        <v>751</v>
      </c>
      <c r="E75" s="20" t="s">
        <v>695</v>
      </c>
      <c r="F75" s="27">
        <v>754464</v>
      </c>
      <c r="G75" s="19" t="s">
        <v>962</v>
      </c>
      <c r="H75" s="27"/>
      <c r="I75" s="19" t="s">
        <v>962</v>
      </c>
      <c r="J75" s="27"/>
      <c r="K75" s="19" t="s">
        <v>962</v>
      </c>
      <c r="L75" s="27"/>
      <c r="M75" s="19" t="s">
        <v>962</v>
      </c>
      <c r="N75" s="27"/>
      <c r="O75" s="19" t="s">
        <v>962</v>
      </c>
      <c r="P75" s="27"/>
      <c r="Q75" s="19" t="s">
        <v>962</v>
      </c>
      <c r="R75" s="21">
        <f t="shared" si="2"/>
        <v>754464</v>
      </c>
      <c r="S75" s="22" t="s">
        <v>962</v>
      </c>
      <c r="Z75" s="17">
        <v>754464</v>
      </c>
    </row>
    <row r="76" spans="2:26" ht="19.7" customHeight="1" x14ac:dyDescent="0.2">
      <c r="B76" s="18" t="s">
        <v>665</v>
      </c>
      <c r="C76" s="19" t="s">
        <v>948</v>
      </c>
      <c r="D76" s="19" t="s">
        <v>208</v>
      </c>
      <c r="E76" s="20" t="s">
        <v>695</v>
      </c>
      <c r="F76" s="27">
        <v>1497000</v>
      </c>
      <c r="G76" s="19" t="s">
        <v>962</v>
      </c>
      <c r="H76" s="27"/>
      <c r="I76" s="19" t="s">
        <v>962</v>
      </c>
      <c r="J76" s="27"/>
      <c r="K76" s="19" t="s">
        <v>962</v>
      </c>
      <c r="L76" s="27"/>
      <c r="M76" s="19" t="s">
        <v>962</v>
      </c>
      <c r="N76" s="27"/>
      <c r="O76" s="19" t="s">
        <v>962</v>
      </c>
      <c r="P76" s="27"/>
      <c r="Q76" s="19" t="s">
        <v>962</v>
      </c>
      <c r="R76" s="21">
        <f t="shared" si="2"/>
        <v>1497000</v>
      </c>
      <c r="S76" s="22" t="s">
        <v>962</v>
      </c>
      <c r="Z76" s="17">
        <v>1497000</v>
      </c>
    </row>
    <row r="77" spans="2:26" ht="19.7" customHeight="1" x14ac:dyDescent="0.2">
      <c r="B77" s="18" t="s">
        <v>130</v>
      </c>
      <c r="C77" s="19" t="s">
        <v>266</v>
      </c>
      <c r="D77" s="19" t="s">
        <v>238</v>
      </c>
      <c r="E77" s="20" t="s">
        <v>695</v>
      </c>
      <c r="F77" s="27">
        <v>11000</v>
      </c>
      <c r="G77" s="19" t="s">
        <v>962</v>
      </c>
      <c r="H77" s="27"/>
      <c r="I77" s="19" t="s">
        <v>962</v>
      </c>
      <c r="J77" s="27"/>
      <c r="K77" s="19" t="s">
        <v>962</v>
      </c>
      <c r="L77" s="27"/>
      <c r="M77" s="19" t="s">
        <v>962</v>
      </c>
      <c r="N77" s="27"/>
      <c r="O77" s="19" t="s">
        <v>962</v>
      </c>
      <c r="P77" s="27"/>
      <c r="Q77" s="19" t="s">
        <v>962</v>
      </c>
      <c r="R77" s="21">
        <f t="shared" si="2"/>
        <v>11000</v>
      </c>
      <c r="S77" s="22" t="s">
        <v>962</v>
      </c>
      <c r="Z77" s="17">
        <v>11000</v>
      </c>
    </row>
    <row r="78" spans="2:26" ht="19.7" customHeight="1" x14ac:dyDescent="0.2">
      <c r="B78" s="18" t="s">
        <v>494</v>
      </c>
      <c r="C78" s="19" t="s">
        <v>828</v>
      </c>
      <c r="D78" s="19" t="s">
        <v>396</v>
      </c>
      <c r="E78" s="20" t="s">
        <v>695</v>
      </c>
      <c r="F78" s="27">
        <v>190340</v>
      </c>
      <c r="G78" s="19" t="s">
        <v>962</v>
      </c>
      <c r="H78" s="27"/>
      <c r="I78" s="19" t="s">
        <v>962</v>
      </c>
      <c r="J78" s="27"/>
      <c r="K78" s="19" t="s">
        <v>962</v>
      </c>
      <c r="L78" s="27"/>
      <c r="M78" s="19" t="s">
        <v>962</v>
      </c>
      <c r="N78" s="27"/>
      <c r="O78" s="19" t="s">
        <v>962</v>
      </c>
      <c r="P78" s="27"/>
      <c r="Q78" s="19" t="s">
        <v>962</v>
      </c>
      <c r="R78" s="21">
        <f t="shared" si="2"/>
        <v>190340</v>
      </c>
      <c r="S78" s="22" t="s">
        <v>962</v>
      </c>
      <c r="Z78" s="17">
        <v>190340</v>
      </c>
    </row>
    <row r="79" spans="2:26" ht="19.7" customHeight="1" x14ac:dyDescent="0.2">
      <c r="B79" s="18" t="s">
        <v>91</v>
      </c>
      <c r="C79" s="19" t="s">
        <v>828</v>
      </c>
      <c r="D79" s="19" t="s">
        <v>537</v>
      </c>
      <c r="E79" s="20" t="s">
        <v>695</v>
      </c>
      <c r="F79" s="27">
        <v>181440</v>
      </c>
      <c r="G79" s="19" t="s">
        <v>962</v>
      </c>
      <c r="H79" s="27"/>
      <c r="I79" s="19" t="s">
        <v>962</v>
      </c>
      <c r="J79" s="27"/>
      <c r="K79" s="19" t="s">
        <v>962</v>
      </c>
      <c r="L79" s="27"/>
      <c r="M79" s="19" t="s">
        <v>962</v>
      </c>
      <c r="N79" s="27"/>
      <c r="O79" s="19" t="s">
        <v>962</v>
      </c>
      <c r="P79" s="27"/>
      <c r="Q79" s="19" t="s">
        <v>962</v>
      </c>
      <c r="R79" s="21">
        <f t="shared" si="2"/>
        <v>181440</v>
      </c>
      <c r="S79" s="22" t="s">
        <v>962</v>
      </c>
      <c r="Z79" s="17">
        <v>181440</v>
      </c>
    </row>
    <row r="80" spans="2:26" ht="19.7" customHeight="1" x14ac:dyDescent="0.2">
      <c r="B80" s="18" t="s">
        <v>640</v>
      </c>
      <c r="C80" s="19" t="s">
        <v>430</v>
      </c>
      <c r="D80" s="19" t="s">
        <v>962</v>
      </c>
      <c r="E80" s="20" t="s">
        <v>569</v>
      </c>
      <c r="F80" s="27">
        <v>152</v>
      </c>
      <c r="G80" s="19" t="s">
        <v>962</v>
      </c>
      <c r="H80" s="27"/>
      <c r="I80" s="19" t="s">
        <v>962</v>
      </c>
      <c r="J80" s="27"/>
      <c r="K80" s="19" t="s">
        <v>962</v>
      </c>
      <c r="L80" s="27"/>
      <c r="M80" s="19" t="s">
        <v>962</v>
      </c>
      <c r="N80" s="27"/>
      <c r="O80" s="19" t="s">
        <v>962</v>
      </c>
      <c r="P80" s="27"/>
      <c r="Q80" s="19" t="s">
        <v>962</v>
      </c>
      <c r="R80" s="21">
        <f t="shared" si="2"/>
        <v>152</v>
      </c>
      <c r="S80" s="22" t="s">
        <v>962</v>
      </c>
      <c r="Z80" s="17">
        <v>152</v>
      </c>
    </row>
    <row r="81" spans="2:26" ht="19.7" customHeight="1" x14ac:dyDescent="0.2">
      <c r="B81" s="18" t="s">
        <v>239</v>
      </c>
      <c r="C81" s="19" t="s">
        <v>430</v>
      </c>
      <c r="D81" s="19" t="s">
        <v>230</v>
      </c>
      <c r="E81" s="20" t="s">
        <v>536</v>
      </c>
      <c r="F81" s="27">
        <v>7400</v>
      </c>
      <c r="G81" s="19" t="s">
        <v>962</v>
      </c>
      <c r="H81" s="27"/>
      <c r="I81" s="19" t="s">
        <v>962</v>
      </c>
      <c r="J81" s="27"/>
      <c r="K81" s="19" t="s">
        <v>962</v>
      </c>
      <c r="L81" s="27"/>
      <c r="M81" s="19" t="s">
        <v>962</v>
      </c>
      <c r="N81" s="27"/>
      <c r="O81" s="19" t="s">
        <v>962</v>
      </c>
      <c r="P81" s="27"/>
      <c r="Q81" s="19" t="s">
        <v>962</v>
      </c>
      <c r="R81" s="21">
        <f t="shared" si="2"/>
        <v>7400</v>
      </c>
      <c r="S81" s="22" t="s">
        <v>962</v>
      </c>
      <c r="Z81" s="17">
        <v>7400</v>
      </c>
    </row>
    <row r="82" spans="2:26" ht="19.7" customHeight="1" x14ac:dyDescent="0.2">
      <c r="B82" s="18" t="s">
        <v>632</v>
      </c>
      <c r="C82" s="19" t="s">
        <v>952</v>
      </c>
      <c r="D82" s="19" t="s">
        <v>404</v>
      </c>
      <c r="E82" s="20" t="s">
        <v>769</v>
      </c>
      <c r="F82" s="27">
        <v>4500</v>
      </c>
      <c r="G82" s="19" t="s">
        <v>962</v>
      </c>
      <c r="H82" s="27"/>
      <c r="I82" s="19" t="s">
        <v>962</v>
      </c>
      <c r="J82" s="27"/>
      <c r="K82" s="19" t="s">
        <v>962</v>
      </c>
      <c r="L82" s="27"/>
      <c r="M82" s="19" t="s">
        <v>962</v>
      </c>
      <c r="N82" s="27"/>
      <c r="O82" s="19" t="s">
        <v>962</v>
      </c>
      <c r="P82" s="27"/>
      <c r="Q82" s="19" t="s">
        <v>962</v>
      </c>
      <c r="R82" s="21">
        <f t="shared" si="2"/>
        <v>4500</v>
      </c>
      <c r="S82" s="22" t="s">
        <v>962</v>
      </c>
      <c r="Z82" s="17">
        <v>4500</v>
      </c>
    </row>
    <row r="83" spans="2:26" ht="19.7" customHeight="1" x14ac:dyDescent="0.2">
      <c r="B83" s="18" t="s">
        <v>242</v>
      </c>
      <c r="C83" s="19" t="s">
        <v>262</v>
      </c>
      <c r="D83" s="19" t="s">
        <v>389</v>
      </c>
      <c r="E83" s="20" t="s">
        <v>654</v>
      </c>
      <c r="F83" s="27">
        <v>150100</v>
      </c>
      <c r="G83" s="19" t="s">
        <v>962</v>
      </c>
      <c r="H83" s="27"/>
      <c r="I83" s="19" t="s">
        <v>962</v>
      </c>
      <c r="J83" s="27"/>
      <c r="K83" s="19" t="s">
        <v>962</v>
      </c>
      <c r="L83" s="27"/>
      <c r="M83" s="19" t="s">
        <v>962</v>
      </c>
      <c r="N83" s="27"/>
      <c r="O83" s="19" t="s">
        <v>962</v>
      </c>
      <c r="P83" s="27"/>
      <c r="Q83" s="19" t="s">
        <v>962</v>
      </c>
      <c r="R83" s="21">
        <f t="shared" si="2"/>
        <v>150100</v>
      </c>
      <c r="S83" s="22" t="s">
        <v>962</v>
      </c>
      <c r="Z83" s="17">
        <v>150100</v>
      </c>
    </row>
    <row r="84" spans="2:26" ht="19.7" customHeight="1" x14ac:dyDescent="0.2">
      <c r="B84" s="18" t="s">
        <v>339</v>
      </c>
      <c r="C84" s="19" t="s">
        <v>262</v>
      </c>
      <c r="D84" s="19" t="s">
        <v>749</v>
      </c>
      <c r="E84" s="20" t="s">
        <v>654</v>
      </c>
      <c r="F84" s="27">
        <v>150100</v>
      </c>
      <c r="G84" s="19" t="s">
        <v>962</v>
      </c>
      <c r="H84" s="27"/>
      <c r="I84" s="19" t="s">
        <v>962</v>
      </c>
      <c r="J84" s="27"/>
      <c r="K84" s="19" t="s">
        <v>962</v>
      </c>
      <c r="L84" s="27"/>
      <c r="M84" s="19" t="s">
        <v>962</v>
      </c>
      <c r="N84" s="27"/>
      <c r="O84" s="19" t="s">
        <v>962</v>
      </c>
      <c r="P84" s="27"/>
      <c r="Q84" s="19" t="s">
        <v>962</v>
      </c>
      <c r="R84" s="21">
        <f t="shared" si="2"/>
        <v>150100</v>
      </c>
      <c r="S84" s="22" t="s">
        <v>962</v>
      </c>
      <c r="Z84" s="17">
        <v>150100</v>
      </c>
    </row>
    <row r="85" spans="2:26" ht="19.7" customHeight="1" x14ac:dyDescent="0.2">
      <c r="B85" s="18" t="s">
        <v>727</v>
      </c>
      <c r="C85" s="19" t="s">
        <v>706</v>
      </c>
      <c r="D85" s="19" t="s">
        <v>781</v>
      </c>
      <c r="E85" s="20" t="s">
        <v>626</v>
      </c>
      <c r="F85" s="27">
        <v>2300</v>
      </c>
      <c r="G85" s="19" t="s">
        <v>962</v>
      </c>
      <c r="H85" s="27"/>
      <c r="I85" s="19" t="s">
        <v>962</v>
      </c>
      <c r="J85" s="27"/>
      <c r="K85" s="19" t="s">
        <v>962</v>
      </c>
      <c r="L85" s="27"/>
      <c r="M85" s="19" t="s">
        <v>962</v>
      </c>
      <c r="N85" s="27"/>
      <c r="O85" s="19" t="s">
        <v>962</v>
      </c>
      <c r="P85" s="27"/>
      <c r="Q85" s="19" t="s">
        <v>962</v>
      </c>
      <c r="R85" s="21">
        <f t="shared" si="2"/>
        <v>2300</v>
      </c>
      <c r="S85" s="22" t="s">
        <v>962</v>
      </c>
      <c r="Z85" s="17">
        <v>2300</v>
      </c>
    </row>
    <row r="86" spans="2:26" ht="19.7" customHeight="1" x14ac:dyDescent="0.2">
      <c r="B86" s="18" t="s">
        <v>470</v>
      </c>
      <c r="C86" s="19" t="s">
        <v>42</v>
      </c>
      <c r="D86" s="19" t="s">
        <v>122</v>
      </c>
      <c r="E86" s="20" t="s">
        <v>724</v>
      </c>
      <c r="F86" s="27">
        <v>198000</v>
      </c>
      <c r="G86" s="19" t="s">
        <v>962</v>
      </c>
      <c r="H86" s="27"/>
      <c r="I86" s="19" t="s">
        <v>962</v>
      </c>
      <c r="J86" s="27"/>
      <c r="K86" s="19" t="s">
        <v>962</v>
      </c>
      <c r="L86" s="27"/>
      <c r="M86" s="19" t="s">
        <v>962</v>
      </c>
      <c r="N86" s="27"/>
      <c r="O86" s="19" t="s">
        <v>962</v>
      </c>
      <c r="P86" s="27"/>
      <c r="Q86" s="19" t="s">
        <v>962</v>
      </c>
      <c r="R86" s="21">
        <f t="shared" si="2"/>
        <v>198000</v>
      </c>
      <c r="S86" s="22" t="s">
        <v>962</v>
      </c>
      <c r="Z86" s="17">
        <v>198000</v>
      </c>
    </row>
    <row r="87" spans="2:26" ht="19.7" customHeight="1" x14ac:dyDescent="0.2">
      <c r="B87" s="18" t="s">
        <v>890</v>
      </c>
      <c r="C87" s="19" t="s">
        <v>712</v>
      </c>
      <c r="D87" s="19" t="s">
        <v>689</v>
      </c>
      <c r="E87" s="20" t="s">
        <v>626</v>
      </c>
      <c r="F87" s="27">
        <v>600</v>
      </c>
      <c r="G87" s="19" t="s">
        <v>962</v>
      </c>
      <c r="H87" s="27"/>
      <c r="I87" s="19" t="s">
        <v>962</v>
      </c>
      <c r="J87" s="27"/>
      <c r="K87" s="19" t="s">
        <v>962</v>
      </c>
      <c r="L87" s="27"/>
      <c r="M87" s="19" t="s">
        <v>962</v>
      </c>
      <c r="N87" s="27"/>
      <c r="O87" s="19" t="s">
        <v>962</v>
      </c>
      <c r="P87" s="27"/>
      <c r="Q87" s="19" t="s">
        <v>962</v>
      </c>
      <c r="R87" s="21">
        <f t="shared" si="2"/>
        <v>600</v>
      </c>
      <c r="S87" s="22" t="s">
        <v>962</v>
      </c>
      <c r="Z87" s="17">
        <v>600</v>
      </c>
    </row>
    <row r="88" spans="2:26" ht="19.7" customHeight="1" x14ac:dyDescent="0.2">
      <c r="B88" s="23" t="s">
        <v>303</v>
      </c>
      <c r="C88" s="24" t="s">
        <v>759</v>
      </c>
      <c r="D88" s="24" t="s">
        <v>638</v>
      </c>
      <c r="E88" s="25" t="s">
        <v>75</v>
      </c>
      <c r="F88" s="10">
        <v>101000</v>
      </c>
      <c r="G88" s="24" t="s">
        <v>962</v>
      </c>
      <c r="H88" s="10"/>
      <c r="I88" s="24" t="s">
        <v>962</v>
      </c>
      <c r="J88" s="10"/>
      <c r="K88" s="24" t="s">
        <v>962</v>
      </c>
      <c r="L88" s="10"/>
      <c r="M88" s="24" t="s">
        <v>962</v>
      </c>
      <c r="N88" s="10"/>
      <c r="O88" s="24" t="s">
        <v>962</v>
      </c>
      <c r="P88" s="10"/>
      <c r="Q88" s="24" t="s">
        <v>962</v>
      </c>
      <c r="R88" s="11">
        <f t="shared" si="2"/>
        <v>101000</v>
      </c>
      <c r="S88" s="26" t="s">
        <v>962</v>
      </c>
      <c r="Z88" s="17">
        <v>101000</v>
      </c>
    </row>
    <row r="89" spans="2:26" ht="19.7" customHeight="1" x14ac:dyDescent="0.2">
      <c r="B89" s="18" t="s">
        <v>811</v>
      </c>
      <c r="C89" s="19" t="s">
        <v>84</v>
      </c>
      <c r="D89" s="19" t="s">
        <v>166</v>
      </c>
      <c r="E89" s="20" t="s">
        <v>596</v>
      </c>
      <c r="F89" s="27">
        <v>290000</v>
      </c>
      <c r="G89" s="19" t="s">
        <v>962</v>
      </c>
      <c r="H89" s="27"/>
      <c r="I89" s="19" t="s">
        <v>962</v>
      </c>
      <c r="J89" s="27"/>
      <c r="K89" s="19" t="s">
        <v>962</v>
      </c>
      <c r="L89" s="27"/>
      <c r="M89" s="19" t="s">
        <v>962</v>
      </c>
      <c r="N89" s="27"/>
      <c r="O89" s="19" t="s">
        <v>962</v>
      </c>
      <c r="P89" s="27"/>
      <c r="Q89" s="19" t="s">
        <v>962</v>
      </c>
      <c r="R89" s="21">
        <f t="shared" si="2"/>
        <v>290000</v>
      </c>
      <c r="S89" s="22" t="s">
        <v>962</v>
      </c>
      <c r="Z89" s="17">
        <v>290000</v>
      </c>
    </row>
    <row r="90" spans="2:26" ht="19.7" customHeight="1" x14ac:dyDescent="0.2">
      <c r="B90" s="18" t="s">
        <v>378</v>
      </c>
      <c r="C90" s="19" t="s">
        <v>784</v>
      </c>
      <c r="D90" s="19" t="s">
        <v>758</v>
      </c>
      <c r="E90" s="20" t="s">
        <v>274</v>
      </c>
      <c r="F90" s="27">
        <v>121000</v>
      </c>
      <c r="G90" s="19" t="s">
        <v>962</v>
      </c>
      <c r="H90" s="27"/>
      <c r="I90" s="19" t="s">
        <v>962</v>
      </c>
      <c r="J90" s="27"/>
      <c r="K90" s="19" t="s">
        <v>962</v>
      </c>
      <c r="L90" s="27"/>
      <c r="M90" s="19" t="s">
        <v>962</v>
      </c>
      <c r="N90" s="27"/>
      <c r="O90" s="19" t="s">
        <v>962</v>
      </c>
      <c r="P90" s="27"/>
      <c r="Q90" s="19" t="s">
        <v>962</v>
      </c>
      <c r="R90" s="21">
        <f t="shared" si="2"/>
        <v>121000</v>
      </c>
      <c r="S90" s="22" t="s">
        <v>962</v>
      </c>
      <c r="Z90" s="17">
        <v>121000</v>
      </c>
    </row>
    <row r="91" spans="2:26" ht="19.7" customHeight="1" x14ac:dyDescent="0.2">
      <c r="B91" s="18" t="s">
        <v>915</v>
      </c>
      <c r="C91" s="19" t="s">
        <v>711</v>
      </c>
      <c r="D91" s="19" t="s">
        <v>962</v>
      </c>
      <c r="E91" s="20" t="s">
        <v>569</v>
      </c>
      <c r="F91" s="27">
        <v>6000</v>
      </c>
      <c r="G91" s="19" t="s">
        <v>962</v>
      </c>
      <c r="H91" s="27"/>
      <c r="I91" s="19" t="s">
        <v>962</v>
      </c>
      <c r="J91" s="27"/>
      <c r="K91" s="19" t="s">
        <v>962</v>
      </c>
      <c r="L91" s="27"/>
      <c r="M91" s="19" t="s">
        <v>962</v>
      </c>
      <c r="N91" s="27"/>
      <c r="O91" s="19" t="s">
        <v>962</v>
      </c>
      <c r="P91" s="27"/>
      <c r="Q91" s="19" t="s">
        <v>962</v>
      </c>
      <c r="R91" s="21">
        <f t="shared" si="2"/>
        <v>6000</v>
      </c>
      <c r="S91" s="22" t="s">
        <v>962</v>
      </c>
      <c r="Z91" s="17">
        <v>6000</v>
      </c>
    </row>
    <row r="92" spans="2:26" ht="19.7" customHeight="1" x14ac:dyDescent="0.2">
      <c r="B92" s="18" t="s">
        <v>390</v>
      </c>
      <c r="C92" s="19" t="s">
        <v>657</v>
      </c>
      <c r="D92" s="19" t="s">
        <v>901</v>
      </c>
      <c r="E92" s="20" t="s">
        <v>444</v>
      </c>
      <c r="F92" s="27">
        <v>5100</v>
      </c>
      <c r="G92" s="19" t="s">
        <v>962</v>
      </c>
      <c r="H92" s="27"/>
      <c r="I92" s="19" t="s">
        <v>962</v>
      </c>
      <c r="J92" s="27"/>
      <c r="K92" s="19" t="s">
        <v>962</v>
      </c>
      <c r="L92" s="27"/>
      <c r="M92" s="19" t="s">
        <v>962</v>
      </c>
      <c r="N92" s="27"/>
      <c r="O92" s="19" t="s">
        <v>962</v>
      </c>
      <c r="P92" s="27"/>
      <c r="Q92" s="19" t="s">
        <v>962</v>
      </c>
      <c r="R92" s="21">
        <f t="shared" si="2"/>
        <v>5100</v>
      </c>
      <c r="S92" s="22" t="s">
        <v>962</v>
      </c>
      <c r="Z92" s="17">
        <v>5100</v>
      </c>
    </row>
    <row r="93" spans="2:26" ht="19.7" customHeight="1" x14ac:dyDescent="0.2">
      <c r="B93" s="18" t="s">
        <v>912</v>
      </c>
      <c r="C93" s="19" t="s">
        <v>92</v>
      </c>
      <c r="D93" s="19" t="s">
        <v>379</v>
      </c>
      <c r="E93" s="20" t="s">
        <v>444</v>
      </c>
      <c r="F93" s="27">
        <v>309600000</v>
      </c>
      <c r="G93" s="19" t="s">
        <v>962</v>
      </c>
      <c r="H93" s="27"/>
      <c r="I93" s="19" t="s">
        <v>962</v>
      </c>
      <c r="J93" s="27"/>
      <c r="K93" s="19" t="s">
        <v>962</v>
      </c>
      <c r="L93" s="27"/>
      <c r="M93" s="19" t="s">
        <v>962</v>
      </c>
      <c r="N93" s="27"/>
      <c r="O93" s="19" t="s">
        <v>962</v>
      </c>
      <c r="P93" s="27"/>
      <c r="Q93" s="19" t="s">
        <v>962</v>
      </c>
      <c r="R93" s="21">
        <f t="shared" si="2"/>
        <v>309600000</v>
      </c>
      <c r="S93" s="22" t="s">
        <v>962</v>
      </c>
      <c r="Z93" s="17">
        <v>309600000</v>
      </c>
    </row>
    <row r="94" spans="2:26" ht="19.7" customHeight="1" x14ac:dyDescent="0.2">
      <c r="B94" s="18" t="s">
        <v>89</v>
      </c>
      <c r="C94" s="19" t="s">
        <v>941</v>
      </c>
      <c r="D94" s="19" t="s">
        <v>19</v>
      </c>
      <c r="E94" s="20" t="s">
        <v>134</v>
      </c>
      <c r="F94" s="27">
        <v>61200000</v>
      </c>
      <c r="G94" s="19" t="s">
        <v>962</v>
      </c>
      <c r="H94" s="27"/>
      <c r="I94" s="19" t="s">
        <v>962</v>
      </c>
      <c r="J94" s="27"/>
      <c r="K94" s="19" t="s">
        <v>962</v>
      </c>
      <c r="L94" s="27"/>
      <c r="M94" s="19" t="s">
        <v>962</v>
      </c>
      <c r="N94" s="27"/>
      <c r="O94" s="19" t="s">
        <v>962</v>
      </c>
      <c r="P94" s="27"/>
      <c r="Q94" s="19" t="s">
        <v>962</v>
      </c>
      <c r="R94" s="21">
        <f t="shared" si="2"/>
        <v>61200000</v>
      </c>
      <c r="S94" s="22" t="s">
        <v>962</v>
      </c>
      <c r="Z94" s="17">
        <v>61200000</v>
      </c>
    </row>
    <row r="95" spans="2:26" ht="19.7" customHeight="1" x14ac:dyDescent="0.2">
      <c r="B95" s="18" t="s">
        <v>490</v>
      </c>
      <c r="C95" s="19" t="s">
        <v>941</v>
      </c>
      <c r="D95" s="19" t="s">
        <v>13</v>
      </c>
      <c r="E95" s="20" t="s">
        <v>134</v>
      </c>
      <c r="F95" s="27">
        <v>47700000</v>
      </c>
      <c r="G95" s="19" t="s">
        <v>962</v>
      </c>
      <c r="H95" s="27"/>
      <c r="I95" s="19" t="s">
        <v>962</v>
      </c>
      <c r="J95" s="27"/>
      <c r="K95" s="19" t="s">
        <v>962</v>
      </c>
      <c r="L95" s="27"/>
      <c r="M95" s="19" t="s">
        <v>962</v>
      </c>
      <c r="N95" s="27"/>
      <c r="O95" s="19" t="s">
        <v>962</v>
      </c>
      <c r="P95" s="27"/>
      <c r="Q95" s="19" t="s">
        <v>962</v>
      </c>
      <c r="R95" s="21">
        <f t="shared" si="2"/>
        <v>47700000</v>
      </c>
      <c r="S95" s="22" t="s">
        <v>962</v>
      </c>
      <c r="Z95" s="17">
        <v>47700000</v>
      </c>
    </row>
    <row r="96" spans="2:26" ht="19.7" customHeight="1" x14ac:dyDescent="0.2">
      <c r="B96" s="18" t="s">
        <v>232</v>
      </c>
      <c r="C96" s="19" t="s">
        <v>941</v>
      </c>
      <c r="D96" s="19" t="s">
        <v>701</v>
      </c>
      <c r="E96" s="20" t="s">
        <v>134</v>
      </c>
      <c r="F96" s="27">
        <v>54400000</v>
      </c>
      <c r="G96" s="19" t="s">
        <v>962</v>
      </c>
      <c r="H96" s="27"/>
      <c r="I96" s="19" t="s">
        <v>962</v>
      </c>
      <c r="J96" s="27"/>
      <c r="K96" s="19" t="s">
        <v>962</v>
      </c>
      <c r="L96" s="27"/>
      <c r="M96" s="19" t="s">
        <v>962</v>
      </c>
      <c r="N96" s="27"/>
      <c r="O96" s="19" t="s">
        <v>962</v>
      </c>
      <c r="P96" s="27"/>
      <c r="Q96" s="19" t="s">
        <v>962</v>
      </c>
      <c r="R96" s="21">
        <f t="shared" si="2"/>
        <v>54400000</v>
      </c>
      <c r="S96" s="22" t="s">
        <v>962</v>
      </c>
      <c r="Z96" s="17">
        <v>54400000</v>
      </c>
    </row>
    <row r="97" spans="2:26" ht="19.7" customHeight="1" x14ac:dyDescent="0.2">
      <c r="B97" s="18" t="s">
        <v>639</v>
      </c>
      <c r="C97" s="19" t="s">
        <v>941</v>
      </c>
      <c r="D97" s="19" t="s">
        <v>730</v>
      </c>
      <c r="E97" s="20" t="s">
        <v>134</v>
      </c>
      <c r="F97" s="27">
        <v>52500000</v>
      </c>
      <c r="G97" s="19" t="s">
        <v>962</v>
      </c>
      <c r="H97" s="27"/>
      <c r="I97" s="19" t="s">
        <v>962</v>
      </c>
      <c r="J97" s="27"/>
      <c r="K97" s="19" t="s">
        <v>962</v>
      </c>
      <c r="L97" s="27"/>
      <c r="M97" s="19" t="s">
        <v>962</v>
      </c>
      <c r="N97" s="27"/>
      <c r="O97" s="19" t="s">
        <v>962</v>
      </c>
      <c r="P97" s="27"/>
      <c r="Q97" s="19" t="s">
        <v>962</v>
      </c>
      <c r="R97" s="21">
        <f t="shared" si="2"/>
        <v>52500000</v>
      </c>
      <c r="S97" s="22" t="s">
        <v>962</v>
      </c>
      <c r="Z97" s="17">
        <v>52500000</v>
      </c>
    </row>
    <row r="98" spans="2:26" ht="19.7" customHeight="1" x14ac:dyDescent="0.2">
      <c r="B98" s="18" t="s">
        <v>64</v>
      </c>
      <c r="C98" s="19" t="s">
        <v>26</v>
      </c>
      <c r="D98" s="19" t="s">
        <v>862</v>
      </c>
      <c r="E98" s="20" t="s">
        <v>444</v>
      </c>
      <c r="F98" s="27">
        <v>229800000</v>
      </c>
      <c r="G98" s="19" t="s">
        <v>962</v>
      </c>
      <c r="H98" s="27"/>
      <c r="I98" s="19" t="s">
        <v>962</v>
      </c>
      <c r="J98" s="27"/>
      <c r="K98" s="19" t="s">
        <v>962</v>
      </c>
      <c r="L98" s="27"/>
      <c r="M98" s="19" t="s">
        <v>962</v>
      </c>
      <c r="N98" s="27"/>
      <c r="O98" s="19" t="s">
        <v>962</v>
      </c>
      <c r="P98" s="27"/>
      <c r="Q98" s="19" t="s">
        <v>962</v>
      </c>
      <c r="R98" s="21">
        <f t="shared" si="2"/>
        <v>229800000</v>
      </c>
      <c r="S98" s="22" t="s">
        <v>962</v>
      </c>
      <c r="Z98" s="17">
        <v>229800000</v>
      </c>
    </row>
    <row r="99" spans="2:26" ht="19.7" customHeight="1" x14ac:dyDescent="0.2">
      <c r="B99" s="18" t="s">
        <v>576</v>
      </c>
      <c r="C99" s="19" t="s">
        <v>305</v>
      </c>
      <c r="D99" s="19" t="s">
        <v>95</v>
      </c>
      <c r="E99" s="20" t="s">
        <v>596</v>
      </c>
      <c r="F99" s="27">
        <v>13700</v>
      </c>
      <c r="G99" s="19" t="s">
        <v>962</v>
      </c>
      <c r="H99" s="27"/>
      <c r="I99" s="19" t="s">
        <v>962</v>
      </c>
      <c r="J99" s="27"/>
      <c r="K99" s="19" t="s">
        <v>962</v>
      </c>
      <c r="L99" s="27"/>
      <c r="M99" s="19" t="s">
        <v>962</v>
      </c>
      <c r="N99" s="27"/>
      <c r="O99" s="19" t="s">
        <v>962</v>
      </c>
      <c r="P99" s="27"/>
      <c r="Q99" s="19" t="s">
        <v>962</v>
      </c>
      <c r="R99" s="21">
        <f t="shared" si="2"/>
        <v>13700</v>
      </c>
      <c r="S99" s="22" t="s">
        <v>962</v>
      </c>
      <c r="Z99" s="17">
        <v>13700</v>
      </c>
    </row>
    <row r="100" spans="2:26" ht="19.7" customHeight="1" x14ac:dyDescent="0.2">
      <c r="B100" s="18" t="s">
        <v>136</v>
      </c>
      <c r="C100" s="19" t="s">
        <v>273</v>
      </c>
      <c r="D100" s="19" t="s">
        <v>174</v>
      </c>
      <c r="E100" s="20" t="s">
        <v>715</v>
      </c>
      <c r="F100" s="27">
        <v>68900</v>
      </c>
      <c r="G100" s="19" t="s">
        <v>962</v>
      </c>
      <c r="H100" s="27"/>
      <c r="I100" s="19" t="s">
        <v>962</v>
      </c>
      <c r="J100" s="27"/>
      <c r="K100" s="19" t="s">
        <v>962</v>
      </c>
      <c r="L100" s="27"/>
      <c r="M100" s="19" t="s">
        <v>962</v>
      </c>
      <c r="N100" s="27"/>
      <c r="O100" s="19" t="s">
        <v>962</v>
      </c>
      <c r="P100" s="27"/>
      <c r="Q100" s="19" t="s">
        <v>962</v>
      </c>
      <c r="R100" s="21">
        <f t="shared" si="2"/>
        <v>68900</v>
      </c>
      <c r="S100" s="22" t="s">
        <v>962</v>
      </c>
      <c r="Z100" s="17">
        <v>68900</v>
      </c>
    </row>
    <row r="101" spans="2:26" ht="19.7" customHeight="1" x14ac:dyDescent="0.2">
      <c r="B101" s="18" t="s">
        <v>673</v>
      </c>
      <c r="C101" s="19" t="s">
        <v>942</v>
      </c>
      <c r="D101" s="19" t="s">
        <v>779</v>
      </c>
      <c r="E101" s="20" t="s">
        <v>715</v>
      </c>
      <c r="F101" s="27">
        <v>8684</v>
      </c>
      <c r="G101" s="19" t="s">
        <v>962</v>
      </c>
      <c r="H101" s="27"/>
      <c r="I101" s="19" t="s">
        <v>962</v>
      </c>
      <c r="J101" s="27"/>
      <c r="K101" s="19" t="s">
        <v>962</v>
      </c>
      <c r="L101" s="27"/>
      <c r="M101" s="19" t="s">
        <v>962</v>
      </c>
      <c r="N101" s="27"/>
      <c r="O101" s="19" t="s">
        <v>962</v>
      </c>
      <c r="P101" s="27"/>
      <c r="Q101" s="19" t="s">
        <v>962</v>
      </c>
      <c r="R101" s="21">
        <f t="shared" ref="R101:R132" si="3">MIN(F101,H101,J101,L101,N101,P101)</f>
        <v>8684</v>
      </c>
      <c r="S101" s="22" t="s">
        <v>962</v>
      </c>
      <c r="Z101" s="17">
        <v>8684</v>
      </c>
    </row>
    <row r="102" spans="2:26" ht="19.7" customHeight="1" x14ac:dyDescent="0.2">
      <c r="B102" s="18" t="s">
        <v>141</v>
      </c>
      <c r="C102" s="19" t="s">
        <v>222</v>
      </c>
      <c r="D102" s="19" t="s">
        <v>451</v>
      </c>
      <c r="E102" s="20" t="s">
        <v>596</v>
      </c>
      <c r="F102" s="27">
        <v>1542</v>
      </c>
      <c r="G102" s="19" t="s">
        <v>962</v>
      </c>
      <c r="H102" s="27"/>
      <c r="I102" s="19" t="s">
        <v>962</v>
      </c>
      <c r="J102" s="27"/>
      <c r="K102" s="19" t="s">
        <v>962</v>
      </c>
      <c r="L102" s="27"/>
      <c r="M102" s="19" t="s">
        <v>962</v>
      </c>
      <c r="N102" s="27"/>
      <c r="O102" s="19" t="s">
        <v>962</v>
      </c>
      <c r="P102" s="27"/>
      <c r="Q102" s="19" t="s">
        <v>962</v>
      </c>
      <c r="R102" s="21">
        <f t="shared" si="3"/>
        <v>1542</v>
      </c>
      <c r="S102" s="22" t="s">
        <v>962</v>
      </c>
      <c r="Z102" s="17">
        <v>1542</v>
      </c>
    </row>
    <row r="103" spans="2:26" ht="19.7" customHeight="1" x14ac:dyDescent="0.2">
      <c r="B103" s="18" t="s">
        <v>660</v>
      </c>
      <c r="C103" s="19" t="s">
        <v>874</v>
      </c>
      <c r="D103" s="19" t="s">
        <v>515</v>
      </c>
      <c r="E103" s="20" t="s">
        <v>366</v>
      </c>
      <c r="F103" s="27">
        <v>4274</v>
      </c>
      <c r="G103" s="19" t="s">
        <v>962</v>
      </c>
      <c r="H103" s="27"/>
      <c r="I103" s="19" t="s">
        <v>962</v>
      </c>
      <c r="J103" s="27"/>
      <c r="K103" s="19" t="s">
        <v>962</v>
      </c>
      <c r="L103" s="27"/>
      <c r="M103" s="19" t="s">
        <v>962</v>
      </c>
      <c r="N103" s="27"/>
      <c r="O103" s="19" t="s">
        <v>962</v>
      </c>
      <c r="P103" s="27"/>
      <c r="Q103" s="19" t="s">
        <v>962</v>
      </c>
      <c r="R103" s="21">
        <f t="shared" si="3"/>
        <v>4274</v>
      </c>
      <c r="S103" s="22" t="s">
        <v>962</v>
      </c>
      <c r="Z103" s="17">
        <v>4274</v>
      </c>
    </row>
    <row r="104" spans="2:26" ht="19.7" customHeight="1" x14ac:dyDescent="0.2">
      <c r="B104" s="18" t="s">
        <v>86</v>
      </c>
      <c r="C104" s="19" t="s">
        <v>718</v>
      </c>
      <c r="D104" s="19" t="s">
        <v>137</v>
      </c>
      <c r="E104" s="20" t="s">
        <v>366</v>
      </c>
      <c r="F104" s="27">
        <v>3723</v>
      </c>
      <c r="G104" s="19" t="s">
        <v>962</v>
      </c>
      <c r="H104" s="27"/>
      <c r="I104" s="19" t="s">
        <v>962</v>
      </c>
      <c r="J104" s="27"/>
      <c r="K104" s="19" t="s">
        <v>962</v>
      </c>
      <c r="L104" s="27"/>
      <c r="M104" s="19" t="s">
        <v>962</v>
      </c>
      <c r="N104" s="27"/>
      <c r="O104" s="19" t="s">
        <v>962</v>
      </c>
      <c r="P104" s="27"/>
      <c r="Q104" s="19" t="s">
        <v>962</v>
      </c>
      <c r="R104" s="21">
        <f t="shared" si="3"/>
        <v>3723</v>
      </c>
      <c r="S104" s="22" t="s">
        <v>962</v>
      </c>
      <c r="Z104" s="17">
        <v>3723</v>
      </c>
    </row>
    <row r="105" spans="2:26" ht="19.7" customHeight="1" x14ac:dyDescent="0.2">
      <c r="B105" s="18" t="s">
        <v>497</v>
      </c>
      <c r="C105" s="19" t="s">
        <v>540</v>
      </c>
      <c r="D105" s="19" t="s">
        <v>962</v>
      </c>
      <c r="E105" s="20" t="s">
        <v>274</v>
      </c>
      <c r="F105" s="27">
        <v>300</v>
      </c>
      <c r="G105" s="19" t="s">
        <v>962</v>
      </c>
      <c r="H105" s="27"/>
      <c r="I105" s="19" t="s">
        <v>962</v>
      </c>
      <c r="J105" s="27"/>
      <c r="K105" s="19" t="s">
        <v>962</v>
      </c>
      <c r="L105" s="27"/>
      <c r="M105" s="19" t="s">
        <v>962</v>
      </c>
      <c r="N105" s="27"/>
      <c r="O105" s="19" t="s">
        <v>962</v>
      </c>
      <c r="P105" s="27"/>
      <c r="Q105" s="19" t="s">
        <v>962</v>
      </c>
      <c r="R105" s="21">
        <f t="shared" si="3"/>
        <v>300</v>
      </c>
      <c r="S105" s="22" t="s">
        <v>962</v>
      </c>
      <c r="Z105" s="17">
        <v>300</v>
      </c>
    </row>
    <row r="106" spans="2:26" ht="19.7" customHeight="1" x14ac:dyDescent="0.2">
      <c r="B106" s="18" t="s">
        <v>229</v>
      </c>
      <c r="C106" s="19" t="s">
        <v>738</v>
      </c>
      <c r="D106" s="19" t="s">
        <v>542</v>
      </c>
      <c r="E106" s="20" t="s">
        <v>596</v>
      </c>
      <c r="F106" s="27">
        <v>16000</v>
      </c>
      <c r="G106" s="19" t="s">
        <v>962</v>
      </c>
      <c r="H106" s="27"/>
      <c r="I106" s="19" t="s">
        <v>962</v>
      </c>
      <c r="J106" s="27"/>
      <c r="K106" s="19" t="s">
        <v>962</v>
      </c>
      <c r="L106" s="27"/>
      <c r="M106" s="19" t="s">
        <v>962</v>
      </c>
      <c r="N106" s="27"/>
      <c r="O106" s="19" t="s">
        <v>962</v>
      </c>
      <c r="P106" s="27"/>
      <c r="Q106" s="19" t="s">
        <v>962</v>
      </c>
      <c r="R106" s="21">
        <f t="shared" si="3"/>
        <v>16000</v>
      </c>
      <c r="S106" s="22" t="s">
        <v>962</v>
      </c>
      <c r="Z106" s="17">
        <v>16000</v>
      </c>
    </row>
    <row r="107" spans="2:26" ht="19.7" customHeight="1" x14ac:dyDescent="0.2">
      <c r="B107" s="18" t="s">
        <v>644</v>
      </c>
      <c r="C107" s="19" t="s">
        <v>487</v>
      </c>
      <c r="D107" s="19" t="s">
        <v>550</v>
      </c>
      <c r="E107" s="20" t="s">
        <v>724</v>
      </c>
      <c r="F107" s="27">
        <v>47285</v>
      </c>
      <c r="G107" s="19" t="s">
        <v>962</v>
      </c>
      <c r="H107" s="27"/>
      <c r="I107" s="19" t="s">
        <v>962</v>
      </c>
      <c r="J107" s="27"/>
      <c r="K107" s="19" t="s">
        <v>962</v>
      </c>
      <c r="L107" s="27"/>
      <c r="M107" s="19" t="s">
        <v>962</v>
      </c>
      <c r="N107" s="27"/>
      <c r="O107" s="19" t="s">
        <v>962</v>
      </c>
      <c r="P107" s="27"/>
      <c r="Q107" s="19" t="s">
        <v>962</v>
      </c>
      <c r="R107" s="21">
        <f t="shared" si="3"/>
        <v>47285</v>
      </c>
      <c r="S107" s="22" t="s">
        <v>962</v>
      </c>
      <c r="Z107" s="17">
        <v>47285</v>
      </c>
    </row>
    <row r="108" spans="2:26" ht="19.7" customHeight="1" x14ac:dyDescent="0.2">
      <c r="B108" s="18" t="s">
        <v>55</v>
      </c>
      <c r="C108" s="19" t="s">
        <v>253</v>
      </c>
      <c r="D108" s="19" t="s">
        <v>5</v>
      </c>
      <c r="E108" s="20" t="s">
        <v>724</v>
      </c>
      <c r="F108" s="27">
        <v>85703</v>
      </c>
      <c r="G108" s="19" t="s">
        <v>962</v>
      </c>
      <c r="H108" s="27"/>
      <c r="I108" s="19" t="s">
        <v>962</v>
      </c>
      <c r="J108" s="27"/>
      <c r="K108" s="19" t="s">
        <v>962</v>
      </c>
      <c r="L108" s="27"/>
      <c r="M108" s="19" t="s">
        <v>962</v>
      </c>
      <c r="N108" s="27"/>
      <c r="O108" s="19" t="s">
        <v>962</v>
      </c>
      <c r="P108" s="27"/>
      <c r="Q108" s="19" t="s">
        <v>962</v>
      </c>
      <c r="R108" s="21">
        <f t="shared" si="3"/>
        <v>85703</v>
      </c>
      <c r="S108" s="22" t="s">
        <v>962</v>
      </c>
      <c r="Z108" s="17">
        <v>85703</v>
      </c>
    </row>
    <row r="109" spans="2:26" ht="19.7" customHeight="1" x14ac:dyDescent="0.2">
      <c r="B109" s="18" t="s">
        <v>578</v>
      </c>
      <c r="C109" s="19" t="s">
        <v>883</v>
      </c>
      <c r="D109" s="19" t="s">
        <v>550</v>
      </c>
      <c r="E109" s="20" t="s">
        <v>724</v>
      </c>
      <c r="F109" s="27">
        <v>185741</v>
      </c>
      <c r="G109" s="19" t="s">
        <v>962</v>
      </c>
      <c r="H109" s="27"/>
      <c r="I109" s="19" t="s">
        <v>962</v>
      </c>
      <c r="J109" s="27"/>
      <c r="K109" s="19" t="s">
        <v>962</v>
      </c>
      <c r="L109" s="27"/>
      <c r="M109" s="19" t="s">
        <v>962</v>
      </c>
      <c r="N109" s="27"/>
      <c r="O109" s="19" t="s">
        <v>962</v>
      </c>
      <c r="P109" s="27"/>
      <c r="Q109" s="19" t="s">
        <v>962</v>
      </c>
      <c r="R109" s="21">
        <f t="shared" si="3"/>
        <v>185741</v>
      </c>
      <c r="S109" s="22" t="s">
        <v>962</v>
      </c>
      <c r="Z109" s="17">
        <v>185741</v>
      </c>
    </row>
    <row r="110" spans="2:26" ht="19.7" customHeight="1" x14ac:dyDescent="0.2">
      <c r="B110" s="18" t="s">
        <v>114</v>
      </c>
      <c r="C110" s="19" t="s">
        <v>861</v>
      </c>
      <c r="D110" s="19" t="s">
        <v>550</v>
      </c>
      <c r="E110" s="20" t="s">
        <v>724</v>
      </c>
      <c r="F110" s="27">
        <v>42241</v>
      </c>
      <c r="G110" s="19" t="s">
        <v>962</v>
      </c>
      <c r="H110" s="27"/>
      <c r="I110" s="19" t="s">
        <v>962</v>
      </c>
      <c r="J110" s="27"/>
      <c r="K110" s="19" t="s">
        <v>962</v>
      </c>
      <c r="L110" s="27"/>
      <c r="M110" s="19" t="s">
        <v>962</v>
      </c>
      <c r="N110" s="27"/>
      <c r="O110" s="19" t="s">
        <v>962</v>
      </c>
      <c r="P110" s="27"/>
      <c r="Q110" s="19" t="s">
        <v>962</v>
      </c>
      <c r="R110" s="21">
        <f t="shared" si="3"/>
        <v>42241</v>
      </c>
      <c r="S110" s="22" t="s">
        <v>962</v>
      </c>
      <c r="Z110" s="17">
        <v>42241</v>
      </c>
    </row>
    <row r="111" spans="2:26" ht="19.7" customHeight="1" x14ac:dyDescent="0.2">
      <c r="B111" s="18" t="s">
        <v>679</v>
      </c>
      <c r="C111" s="19" t="s">
        <v>129</v>
      </c>
      <c r="D111" s="19" t="s">
        <v>550</v>
      </c>
      <c r="E111" s="20" t="s">
        <v>724</v>
      </c>
      <c r="F111" s="27">
        <v>142500</v>
      </c>
      <c r="G111" s="19" t="s">
        <v>962</v>
      </c>
      <c r="H111" s="27"/>
      <c r="I111" s="19" t="s">
        <v>962</v>
      </c>
      <c r="J111" s="27"/>
      <c r="K111" s="19" t="s">
        <v>962</v>
      </c>
      <c r="L111" s="27"/>
      <c r="M111" s="19" t="s">
        <v>962</v>
      </c>
      <c r="N111" s="27"/>
      <c r="O111" s="19" t="s">
        <v>962</v>
      </c>
      <c r="P111" s="27"/>
      <c r="Q111" s="19" t="s">
        <v>962</v>
      </c>
      <c r="R111" s="21">
        <f t="shared" si="3"/>
        <v>142500</v>
      </c>
      <c r="S111" s="22" t="s">
        <v>962</v>
      </c>
      <c r="Z111" s="17">
        <v>142500</v>
      </c>
    </row>
    <row r="112" spans="2:26" ht="19.7" customHeight="1" x14ac:dyDescent="0.2">
      <c r="B112" s="18" t="s">
        <v>153</v>
      </c>
      <c r="C112" s="19" t="s">
        <v>209</v>
      </c>
      <c r="D112" s="19" t="s">
        <v>97</v>
      </c>
      <c r="E112" s="20" t="s">
        <v>596</v>
      </c>
      <c r="F112" s="27">
        <v>27301</v>
      </c>
      <c r="G112" s="19" t="s">
        <v>962</v>
      </c>
      <c r="H112" s="27"/>
      <c r="I112" s="19" t="s">
        <v>962</v>
      </c>
      <c r="J112" s="27"/>
      <c r="K112" s="19" t="s">
        <v>962</v>
      </c>
      <c r="L112" s="27"/>
      <c r="M112" s="19" t="s">
        <v>962</v>
      </c>
      <c r="N112" s="27"/>
      <c r="O112" s="19" t="s">
        <v>962</v>
      </c>
      <c r="P112" s="27"/>
      <c r="Q112" s="19" t="s">
        <v>962</v>
      </c>
      <c r="R112" s="21">
        <f t="shared" si="3"/>
        <v>27301</v>
      </c>
      <c r="S112" s="22" t="s">
        <v>962</v>
      </c>
      <c r="Z112" s="17">
        <v>27301</v>
      </c>
    </row>
    <row r="113" spans="2:26" ht="19.7" customHeight="1" x14ac:dyDescent="0.2">
      <c r="B113" s="18" t="s">
        <v>655</v>
      </c>
      <c r="C113" s="19" t="s">
        <v>875</v>
      </c>
      <c r="D113" s="19" t="s">
        <v>613</v>
      </c>
      <c r="E113" s="20" t="s">
        <v>596</v>
      </c>
      <c r="F113" s="27">
        <v>69418</v>
      </c>
      <c r="G113" s="19" t="s">
        <v>962</v>
      </c>
      <c r="H113" s="27"/>
      <c r="I113" s="19" t="s">
        <v>962</v>
      </c>
      <c r="J113" s="27"/>
      <c r="K113" s="19" t="s">
        <v>962</v>
      </c>
      <c r="L113" s="27"/>
      <c r="M113" s="19" t="s">
        <v>962</v>
      </c>
      <c r="N113" s="27"/>
      <c r="O113" s="19" t="s">
        <v>962</v>
      </c>
      <c r="P113" s="27"/>
      <c r="Q113" s="19" t="s">
        <v>962</v>
      </c>
      <c r="R113" s="21">
        <f t="shared" si="3"/>
        <v>69418</v>
      </c>
      <c r="S113" s="22" t="s">
        <v>962</v>
      </c>
      <c r="Z113" s="17">
        <v>69418</v>
      </c>
    </row>
    <row r="114" spans="2:26" ht="19.7" customHeight="1" x14ac:dyDescent="0.2">
      <c r="B114" s="18" t="s">
        <v>328</v>
      </c>
      <c r="C114" s="19" t="s">
        <v>313</v>
      </c>
      <c r="D114" s="19" t="s">
        <v>840</v>
      </c>
      <c r="E114" s="20" t="s">
        <v>366</v>
      </c>
      <c r="F114" s="27">
        <v>1847</v>
      </c>
      <c r="G114" s="19" t="s">
        <v>962</v>
      </c>
      <c r="H114" s="27"/>
      <c r="I114" s="19" t="s">
        <v>962</v>
      </c>
      <c r="J114" s="27"/>
      <c r="K114" s="19" t="s">
        <v>962</v>
      </c>
      <c r="L114" s="27"/>
      <c r="M114" s="19" t="s">
        <v>962</v>
      </c>
      <c r="N114" s="27"/>
      <c r="O114" s="19" t="s">
        <v>962</v>
      </c>
      <c r="P114" s="27"/>
      <c r="Q114" s="19" t="s">
        <v>962</v>
      </c>
      <c r="R114" s="21">
        <f t="shared" si="3"/>
        <v>1847</v>
      </c>
      <c r="S114" s="22" t="s">
        <v>962</v>
      </c>
      <c r="Z114" s="17">
        <v>1847</v>
      </c>
    </row>
    <row r="115" spans="2:26" ht="19.7" customHeight="1" x14ac:dyDescent="0.2">
      <c r="B115" s="18" t="s">
        <v>729</v>
      </c>
      <c r="C115" s="19" t="s">
        <v>433</v>
      </c>
      <c r="D115" s="19" t="s">
        <v>267</v>
      </c>
      <c r="E115" s="20" t="s">
        <v>366</v>
      </c>
      <c r="F115" s="27">
        <v>10741</v>
      </c>
      <c r="G115" s="19" t="s">
        <v>962</v>
      </c>
      <c r="H115" s="27"/>
      <c r="I115" s="19" t="s">
        <v>962</v>
      </c>
      <c r="J115" s="27"/>
      <c r="K115" s="19" t="s">
        <v>962</v>
      </c>
      <c r="L115" s="27"/>
      <c r="M115" s="19" t="s">
        <v>962</v>
      </c>
      <c r="N115" s="27"/>
      <c r="O115" s="19" t="s">
        <v>962</v>
      </c>
      <c r="P115" s="27"/>
      <c r="Q115" s="19" t="s">
        <v>962</v>
      </c>
      <c r="R115" s="21">
        <f t="shared" si="3"/>
        <v>10741</v>
      </c>
      <c r="S115" s="22" t="s">
        <v>962</v>
      </c>
      <c r="Z115" s="17">
        <v>10741</v>
      </c>
    </row>
    <row r="116" spans="2:26" ht="19.7" customHeight="1" x14ac:dyDescent="0.2">
      <c r="B116" s="23" t="s">
        <v>459</v>
      </c>
      <c r="C116" s="24" t="s">
        <v>598</v>
      </c>
      <c r="D116" s="24" t="s">
        <v>417</v>
      </c>
      <c r="E116" s="25" t="s">
        <v>724</v>
      </c>
      <c r="F116" s="10">
        <v>13441</v>
      </c>
      <c r="G116" s="24" t="s">
        <v>962</v>
      </c>
      <c r="H116" s="10"/>
      <c r="I116" s="24" t="s">
        <v>962</v>
      </c>
      <c r="J116" s="10"/>
      <c r="K116" s="24" t="s">
        <v>962</v>
      </c>
      <c r="L116" s="10"/>
      <c r="M116" s="24" t="s">
        <v>962</v>
      </c>
      <c r="N116" s="10"/>
      <c r="O116" s="24" t="s">
        <v>962</v>
      </c>
      <c r="P116" s="10"/>
      <c r="Q116" s="24" t="s">
        <v>962</v>
      </c>
      <c r="R116" s="11">
        <f t="shared" si="3"/>
        <v>13441</v>
      </c>
      <c r="S116" s="26" t="s">
        <v>962</v>
      </c>
      <c r="Z116" s="17">
        <v>13441</v>
      </c>
    </row>
    <row r="117" spans="2:26" ht="19.7" customHeight="1" x14ac:dyDescent="0.2">
      <c r="B117" s="18" t="s">
        <v>891</v>
      </c>
      <c r="C117" s="19" t="s">
        <v>671</v>
      </c>
      <c r="D117" s="19" t="s">
        <v>267</v>
      </c>
      <c r="E117" s="20" t="s">
        <v>444</v>
      </c>
      <c r="F117" s="27">
        <v>7615</v>
      </c>
      <c r="G117" s="19" t="s">
        <v>962</v>
      </c>
      <c r="H117" s="27"/>
      <c r="I117" s="19" t="s">
        <v>962</v>
      </c>
      <c r="J117" s="27"/>
      <c r="K117" s="19" t="s">
        <v>962</v>
      </c>
      <c r="L117" s="27"/>
      <c r="M117" s="19" t="s">
        <v>962</v>
      </c>
      <c r="N117" s="27"/>
      <c r="O117" s="19" t="s">
        <v>962</v>
      </c>
      <c r="P117" s="27"/>
      <c r="Q117" s="19" t="s">
        <v>962</v>
      </c>
      <c r="R117" s="21">
        <f t="shared" si="3"/>
        <v>7615</v>
      </c>
      <c r="S117" s="22" t="s">
        <v>962</v>
      </c>
      <c r="Z117" s="17">
        <v>7615</v>
      </c>
    </row>
    <row r="118" spans="2:26" ht="19.7" customHeight="1" x14ac:dyDescent="0.2">
      <c r="B118" s="18" t="s">
        <v>294</v>
      </c>
      <c r="C118" s="19" t="s">
        <v>661</v>
      </c>
      <c r="D118" s="19" t="s">
        <v>722</v>
      </c>
      <c r="E118" s="20" t="s">
        <v>366</v>
      </c>
      <c r="F118" s="27">
        <v>1190</v>
      </c>
      <c r="G118" s="19" t="s">
        <v>962</v>
      </c>
      <c r="H118" s="27"/>
      <c r="I118" s="19" t="s">
        <v>962</v>
      </c>
      <c r="J118" s="27"/>
      <c r="K118" s="19" t="s">
        <v>962</v>
      </c>
      <c r="L118" s="27"/>
      <c r="M118" s="19" t="s">
        <v>962</v>
      </c>
      <c r="N118" s="27"/>
      <c r="O118" s="19" t="s">
        <v>962</v>
      </c>
      <c r="P118" s="27"/>
      <c r="Q118" s="19" t="s">
        <v>962</v>
      </c>
      <c r="R118" s="21">
        <f t="shared" si="3"/>
        <v>1190</v>
      </c>
      <c r="S118" s="22" t="s">
        <v>962</v>
      </c>
      <c r="Z118" s="17">
        <v>1190</v>
      </c>
    </row>
    <row r="119" spans="2:26" ht="19.7" customHeight="1" x14ac:dyDescent="0.2">
      <c r="B119" s="18" t="s">
        <v>823</v>
      </c>
      <c r="C119" s="19" t="s">
        <v>661</v>
      </c>
      <c r="D119" s="19" t="s">
        <v>43</v>
      </c>
      <c r="E119" s="20" t="s">
        <v>366</v>
      </c>
      <c r="F119" s="27">
        <v>3231</v>
      </c>
      <c r="G119" s="19" t="s">
        <v>962</v>
      </c>
      <c r="H119" s="27"/>
      <c r="I119" s="19" t="s">
        <v>962</v>
      </c>
      <c r="J119" s="27"/>
      <c r="K119" s="19" t="s">
        <v>962</v>
      </c>
      <c r="L119" s="27"/>
      <c r="M119" s="19" t="s">
        <v>962</v>
      </c>
      <c r="N119" s="27"/>
      <c r="O119" s="19" t="s">
        <v>962</v>
      </c>
      <c r="P119" s="27"/>
      <c r="Q119" s="19" t="s">
        <v>962</v>
      </c>
      <c r="R119" s="21">
        <f t="shared" si="3"/>
        <v>3231</v>
      </c>
      <c r="S119" s="22" t="s">
        <v>962</v>
      </c>
      <c r="Z119" s="17">
        <v>3231</v>
      </c>
    </row>
    <row r="120" spans="2:26" ht="19.7" customHeight="1" x14ac:dyDescent="0.2">
      <c r="B120" s="18" t="s">
        <v>371</v>
      </c>
      <c r="C120" s="19" t="s">
        <v>880</v>
      </c>
      <c r="D120" s="19" t="s">
        <v>499</v>
      </c>
      <c r="E120" s="20" t="s">
        <v>596</v>
      </c>
      <c r="F120" s="27">
        <v>1315</v>
      </c>
      <c r="G120" s="19" t="s">
        <v>962</v>
      </c>
      <c r="H120" s="27"/>
      <c r="I120" s="19" t="s">
        <v>962</v>
      </c>
      <c r="J120" s="27"/>
      <c r="K120" s="19" t="s">
        <v>962</v>
      </c>
      <c r="L120" s="27"/>
      <c r="M120" s="19" t="s">
        <v>962</v>
      </c>
      <c r="N120" s="27"/>
      <c r="O120" s="19" t="s">
        <v>962</v>
      </c>
      <c r="P120" s="27"/>
      <c r="Q120" s="19" t="s">
        <v>962</v>
      </c>
      <c r="R120" s="21">
        <f t="shared" si="3"/>
        <v>1315</v>
      </c>
      <c r="S120" s="22" t="s">
        <v>962</v>
      </c>
      <c r="Z120" s="17">
        <v>1315</v>
      </c>
    </row>
    <row r="121" spans="2:26" ht="19.7" customHeight="1" x14ac:dyDescent="0.2">
      <c r="B121" s="18" t="s">
        <v>926</v>
      </c>
      <c r="C121" s="19" t="s">
        <v>363</v>
      </c>
      <c r="D121" s="19" t="s">
        <v>212</v>
      </c>
      <c r="E121" s="20" t="s">
        <v>569</v>
      </c>
      <c r="F121" s="27">
        <v>1657</v>
      </c>
      <c r="G121" s="19" t="s">
        <v>962</v>
      </c>
      <c r="H121" s="27"/>
      <c r="I121" s="19" t="s">
        <v>962</v>
      </c>
      <c r="J121" s="27"/>
      <c r="K121" s="19" t="s">
        <v>962</v>
      </c>
      <c r="L121" s="27"/>
      <c r="M121" s="19" t="s">
        <v>962</v>
      </c>
      <c r="N121" s="27"/>
      <c r="O121" s="19" t="s">
        <v>962</v>
      </c>
      <c r="P121" s="27"/>
      <c r="Q121" s="19" t="s">
        <v>962</v>
      </c>
      <c r="R121" s="21">
        <f t="shared" si="3"/>
        <v>1657</v>
      </c>
      <c r="S121" s="22" t="s">
        <v>962</v>
      </c>
      <c r="Z121" s="17">
        <v>1657</v>
      </c>
    </row>
    <row r="122" spans="2:26" ht="19.7" customHeight="1" x14ac:dyDescent="0.2">
      <c r="B122" s="18" t="s">
        <v>393</v>
      </c>
      <c r="C122" s="19" t="s">
        <v>956</v>
      </c>
      <c r="D122" s="19" t="s">
        <v>318</v>
      </c>
      <c r="E122" s="20" t="s">
        <v>596</v>
      </c>
      <c r="F122" s="27">
        <v>325</v>
      </c>
      <c r="G122" s="19" t="s">
        <v>962</v>
      </c>
      <c r="H122" s="27"/>
      <c r="I122" s="19" t="s">
        <v>962</v>
      </c>
      <c r="J122" s="27"/>
      <c r="K122" s="19" t="s">
        <v>962</v>
      </c>
      <c r="L122" s="27"/>
      <c r="M122" s="19" t="s">
        <v>962</v>
      </c>
      <c r="N122" s="27"/>
      <c r="O122" s="19" t="s">
        <v>962</v>
      </c>
      <c r="P122" s="27"/>
      <c r="Q122" s="19" t="s">
        <v>962</v>
      </c>
      <c r="R122" s="21">
        <f t="shared" si="3"/>
        <v>325</v>
      </c>
      <c r="S122" s="22" t="s">
        <v>962</v>
      </c>
      <c r="Z122" s="17">
        <v>325</v>
      </c>
    </row>
    <row r="123" spans="2:26" ht="19.7" customHeight="1" x14ac:dyDescent="0.2">
      <c r="B123" s="18" t="s">
        <v>898</v>
      </c>
      <c r="C123" s="19" t="s">
        <v>429</v>
      </c>
      <c r="D123" s="19" t="s">
        <v>555</v>
      </c>
      <c r="E123" s="20" t="s">
        <v>274</v>
      </c>
      <c r="F123" s="27">
        <v>1329</v>
      </c>
      <c r="G123" s="19" t="s">
        <v>962</v>
      </c>
      <c r="H123" s="27"/>
      <c r="I123" s="19" t="s">
        <v>962</v>
      </c>
      <c r="J123" s="27"/>
      <c r="K123" s="19" t="s">
        <v>962</v>
      </c>
      <c r="L123" s="27"/>
      <c r="M123" s="19" t="s">
        <v>962</v>
      </c>
      <c r="N123" s="27"/>
      <c r="O123" s="19" t="s">
        <v>962</v>
      </c>
      <c r="P123" s="27"/>
      <c r="Q123" s="19" t="s">
        <v>962</v>
      </c>
      <c r="R123" s="21">
        <f t="shared" si="3"/>
        <v>1329</v>
      </c>
      <c r="S123" s="22" t="s">
        <v>962</v>
      </c>
      <c r="Z123" s="17">
        <v>1329</v>
      </c>
    </row>
    <row r="124" spans="2:26" ht="19.7" customHeight="1" x14ac:dyDescent="0.2">
      <c r="B124" s="18" t="s">
        <v>568</v>
      </c>
      <c r="C124" s="19" t="s">
        <v>592</v>
      </c>
      <c r="D124" s="19" t="s">
        <v>819</v>
      </c>
      <c r="E124" s="20" t="s">
        <v>134</v>
      </c>
      <c r="F124" s="27">
        <v>1299</v>
      </c>
      <c r="G124" s="19" t="s">
        <v>962</v>
      </c>
      <c r="H124" s="27"/>
      <c r="I124" s="19" t="s">
        <v>962</v>
      </c>
      <c r="J124" s="27"/>
      <c r="K124" s="19" t="s">
        <v>962</v>
      </c>
      <c r="L124" s="27"/>
      <c r="M124" s="19" t="s">
        <v>962</v>
      </c>
      <c r="N124" s="27"/>
      <c r="O124" s="19" t="s">
        <v>962</v>
      </c>
      <c r="P124" s="27"/>
      <c r="Q124" s="19" t="s">
        <v>962</v>
      </c>
      <c r="R124" s="21">
        <f t="shared" si="3"/>
        <v>1299</v>
      </c>
      <c r="S124" s="22" t="s">
        <v>962</v>
      </c>
      <c r="Z124" s="17">
        <v>1299</v>
      </c>
    </row>
    <row r="125" spans="2:26" ht="19.7" customHeight="1" x14ac:dyDescent="0.2">
      <c r="B125" s="18" t="s">
        <v>8</v>
      </c>
      <c r="C125" s="19" t="s">
        <v>429</v>
      </c>
      <c r="D125" s="19" t="s">
        <v>510</v>
      </c>
      <c r="E125" s="20" t="s">
        <v>274</v>
      </c>
      <c r="F125" s="27">
        <v>1713</v>
      </c>
      <c r="G125" s="19" t="s">
        <v>962</v>
      </c>
      <c r="H125" s="27"/>
      <c r="I125" s="19" t="s">
        <v>962</v>
      </c>
      <c r="J125" s="27"/>
      <c r="K125" s="19" t="s">
        <v>962</v>
      </c>
      <c r="L125" s="27"/>
      <c r="M125" s="19" t="s">
        <v>962</v>
      </c>
      <c r="N125" s="27"/>
      <c r="O125" s="19" t="s">
        <v>962</v>
      </c>
      <c r="P125" s="27"/>
      <c r="Q125" s="19" t="s">
        <v>962</v>
      </c>
      <c r="R125" s="21">
        <f t="shared" si="3"/>
        <v>1713</v>
      </c>
      <c r="S125" s="22" t="s">
        <v>962</v>
      </c>
      <c r="Z125" s="17">
        <v>1713</v>
      </c>
    </row>
    <row r="126" spans="2:26" ht="19.7" customHeight="1" x14ac:dyDescent="0.2">
      <c r="B126" s="18" t="s">
        <v>699</v>
      </c>
      <c r="C126" s="19" t="s">
        <v>392</v>
      </c>
      <c r="D126" s="19" t="s">
        <v>60</v>
      </c>
      <c r="E126" s="20" t="s">
        <v>596</v>
      </c>
      <c r="F126" s="27">
        <v>13000</v>
      </c>
      <c r="G126" s="19" t="s">
        <v>962</v>
      </c>
      <c r="H126" s="27"/>
      <c r="I126" s="19" t="s">
        <v>962</v>
      </c>
      <c r="J126" s="27"/>
      <c r="K126" s="19" t="s">
        <v>962</v>
      </c>
      <c r="L126" s="27"/>
      <c r="M126" s="19" t="s">
        <v>962</v>
      </c>
      <c r="N126" s="27"/>
      <c r="O126" s="19" t="s">
        <v>962</v>
      </c>
      <c r="P126" s="27"/>
      <c r="Q126" s="19" t="s">
        <v>962</v>
      </c>
      <c r="R126" s="21">
        <f t="shared" si="3"/>
        <v>13000</v>
      </c>
      <c r="S126" s="22" t="s">
        <v>962</v>
      </c>
      <c r="Z126" s="17">
        <v>13000</v>
      </c>
    </row>
    <row r="127" spans="2:26" ht="19.7" customHeight="1" x14ac:dyDescent="0.2">
      <c r="B127" s="18" t="s">
        <v>175</v>
      </c>
      <c r="C127" s="19" t="s">
        <v>132</v>
      </c>
      <c r="D127" s="19" t="s">
        <v>98</v>
      </c>
      <c r="E127" s="20" t="s">
        <v>569</v>
      </c>
      <c r="F127" s="27">
        <v>1487</v>
      </c>
      <c r="G127" s="19" t="s">
        <v>962</v>
      </c>
      <c r="H127" s="27"/>
      <c r="I127" s="19" t="s">
        <v>962</v>
      </c>
      <c r="J127" s="27"/>
      <c r="K127" s="19" t="s">
        <v>962</v>
      </c>
      <c r="L127" s="27"/>
      <c r="M127" s="19" t="s">
        <v>962</v>
      </c>
      <c r="N127" s="27"/>
      <c r="O127" s="19" t="s">
        <v>962</v>
      </c>
      <c r="P127" s="27"/>
      <c r="Q127" s="19" t="s">
        <v>962</v>
      </c>
      <c r="R127" s="21">
        <f t="shared" si="3"/>
        <v>1487</v>
      </c>
      <c r="S127" s="22" t="s">
        <v>962</v>
      </c>
      <c r="Z127" s="17">
        <v>1487</v>
      </c>
    </row>
    <row r="128" spans="2:26" ht="19.7" customHeight="1" x14ac:dyDescent="0.2">
      <c r="B128" s="18" t="s">
        <v>535</v>
      </c>
      <c r="C128" s="19" t="s">
        <v>551</v>
      </c>
      <c r="D128" s="19" t="s">
        <v>962</v>
      </c>
      <c r="E128" s="20" t="s">
        <v>274</v>
      </c>
      <c r="F128" s="27">
        <v>50000</v>
      </c>
      <c r="G128" s="19" t="s">
        <v>962</v>
      </c>
      <c r="H128" s="27"/>
      <c r="I128" s="19" t="s">
        <v>962</v>
      </c>
      <c r="J128" s="27"/>
      <c r="K128" s="19" t="s">
        <v>962</v>
      </c>
      <c r="L128" s="27"/>
      <c r="M128" s="19" t="s">
        <v>962</v>
      </c>
      <c r="N128" s="27"/>
      <c r="O128" s="19" t="s">
        <v>962</v>
      </c>
      <c r="P128" s="27"/>
      <c r="Q128" s="19" t="s">
        <v>962</v>
      </c>
      <c r="R128" s="21">
        <f t="shared" si="3"/>
        <v>50000</v>
      </c>
      <c r="S128" s="22" t="s">
        <v>962</v>
      </c>
      <c r="Z128" s="17">
        <v>50000</v>
      </c>
    </row>
    <row r="129" spans="2:26" ht="19.7" customHeight="1" x14ac:dyDescent="0.2">
      <c r="B129" s="18" t="s">
        <v>96</v>
      </c>
      <c r="C129" s="19" t="s">
        <v>187</v>
      </c>
      <c r="D129" s="19" t="s">
        <v>641</v>
      </c>
      <c r="E129" s="20" t="s">
        <v>596</v>
      </c>
      <c r="F129" s="27">
        <v>3479</v>
      </c>
      <c r="G129" s="19" t="s">
        <v>962</v>
      </c>
      <c r="H129" s="27"/>
      <c r="I129" s="19" t="s">
        <v>962</v>
      </c>
      <c r="J129" s="27"/>
      <c r="K129" s="19" t="s">
        <v>962</v>
      </c>
      <c r="L129" s="27"/>
      <c r="M129" s="19" t="s">
        <v>962</v>
      </c>
      <c r="N129" s="27"/>
      <c r="O129" s="19" t="s">
        <v>962</v>
      </c>
      <c r="P129" s="27"/>
      <c r="Q129" s="19" t="s">
        <v>962</v>
      </c>
      <c r="R129" s="21">
        <f t="shared" si="3"/>
        <v>3479</v>
      </c>
      <c r="S129" s="22" t="s">
        <v>962</v>
      </c>
      <c r="Z129" s="17">
        <v>3479</v>
      </c>
    </row>
    <row r="130" spans="2:26" ht="19.7" customHeight="1" x14ac:dyDescent="0.2">
      <c r="B130" s="18" t="s">
        <v>606</v>
      </c>
      <c r="C130" s="19" t="s">
        <v>187</v>
      </c>
      <c r="D130" s="19" t="s">
        <v>164</v>
      </c>
      <c r="E130" s="20" t="s">
        <v>596</v>
      </c>
      <c r="F130" s="27">
        <v>1833</v>
      </c>
      <c r="G130" s="19" t="s">
        <v>962</v>
      </c>
      <c r="H130" s="27"/>
      <c r="I130" s="19" t="s">
        <v>962</v>
      </c>
      <c r="J130" s="27"/>
      <c r="K130" s="19" t="s">
        <v>962</v>
      </c>
      <c r="L130" s="27"/>
      <c r="M130" s="19" t="s">
        <v>962</v>
      </c>
      <c r="N130" s="27"/>
      <c r="O130" s="19" t="s">
        <v>962</v>
      </c>
      <c r="P130" s="27"/>
      <c r="Q130" s="19" t="s">
        <v>962</v>
      </c>
      <c r="R130" s="21">
        <f t="shared" si="3"/>
        <v>1833</v>
      </c>
      <c r="S130" s="22" t="s">
        <v>962</v>
      </c>
      <c r="Z130" s="17">
        <v>1833</v>
      </c>
    </row>
    <row r="131" spans="2:26" ht="19.7" customHeight="1" x14ac:dyDescent="0.2">
      <c r="B131" s="18" t="s">
        <v>205</v>
      </c>
      <c r="C131" s="19" t="s">
        <v>574</v>
      </c>
      <c r="D131" s="19" t="s">
        <v>714</v>
      </c>
      <c r="E131" s="20" t="s">
        <v>724</v>
      </c>
      <c r="F131" s="27">
        <v>217</v>
      </c>
      <c r="G131" s="19" t="s">
        <v>962</v>
      </c>
      <c r="H131" s="27"/>
      <c r="I131" s="19" t="s">
        <v>962</v>
      </c>
      <c r="J131" s="27"/>
      <c r="K131" s="19" t="s">
        <v>962</v>
      </c>
      <c r="L131" s="27"/>
      <c r="M131" s="19" t="s">
        <v>962</v>
      </c>
      <c r="N131" s="27"/>
      <c r="O131" s="19" t="s">
        <v>962</v>
      </c>
      <c r="P131" s="27"/>
      <c r="Q131" s="19" t="s">
        <v>962</v>
      </c>
      <c r="R131" s="21">
        <f t="shared" si="3"/>
        <v>217</v>
      </c>
      <c r="S131" s="22" t="s">
        <v>962</v>
      </c>
      <c r="Z131" s="17">
        <v>217</v>
      </c>
    </row>
    <row r="132" spans="2:26" ht="19.7" customHeight="1" x14ac:dyDescent="0.2">
      <c r="B132" s="18" t="s">
        <v>614</v>
      </c>
      <c r="C132" s="19" t="s">
        <v>553</v>
      </c>
      <c r="D132" s="19" t="s">
        <v>87</v>
      </c>
      <c r="E132" s="20" t="s">
        <v>715</v>
      </c>
      <c r="F132" s="27">
        <v>7733</v>
      </c>
      <c r="G132" s="19" t="s">
        <v>962</v>
      </c>
      <c r="H132" s="27"/>
      <c r="I132" s="19" t="s">
        <v>962</v>
      </c>
      <c r="J132" s="27"/>
      <c r="K132" s="19" t="s">
        <v>962</v>
      </c>
      <c r="L132" s="27"/>
      <c r="M132" s="19" t="s">
        <v>962</v>
      </c>
      <c r="N132" s="27"/>
      <c r="O132" s="19" t="s">
        <v>962</v>
      </c>
      <c r="P132" s="27"/>
      <c r="Q132" s="19" t="s">
        <v>962</v>
      </c>
      <c r="R132" s="21">
        <f t="shared" si="3"/>
        <v>7733</v>
      </c>
      <c r="S132" s="22" t="s">
        <v>962</v>
      </c>
      <c r="Z132" s="17">
        <v>7733</v>
      </c>
    </row>
    <row r="133" spans="2:26" ht="19.7" customHeight="1" x14ac:dyDescent="0.2">
      <c r="B133" s="18" t="s">
        <v>202</v>
      </c>
      <c r="C133" s="19" t="s">
        <v>477</v>
      </c>
      <c r="D133" s="19" t="s">
        <v>856</v>
      </c>
      <c r="E133" s="20" t="s">
        <v>715</v>
      </c>
      <c r="F133" s="27">
        <v>7400</v>
      </c>
      <c r="G133" s="19" t="s">
        <v>962</v>
      </c>
      <c r="H133" s="27"/>
      <c r="I133" s="19" t="s">
        <v>962</v>
      </c>
      <c r="J133" s="27"/>
      <c r="K133" s="19" t="s">
        <v>962</v>
      </c>
      <c r="L133" s="27"/>
      <c r="M133" s="19" t="s">
        <v>962</v>
      </c>
      <c r="N133" s="27"/>
      <c r="O133" s="19" t="s">
        <v>962</v>
      </c>
      <c r="P133" s="27"/>
      <c r="Q133" s="19" t="s">
        <v>962</v>
      </c>
      <c r="R133" s="21">
        <f t="shared" ref="R133:R164" si="4">MIN(F133,H133,J133,L133,N133,P133)</f>
        <v>7400</v>
      </c>
      <c r="S133" s="22" t="s">
        <v>962</v>
      </c>
      <c r="Z133" s="17">
        <v>7400</v>
      </c>
    </row>
    <row r="134" spans="2:26" ht="19.7" customHeight="1" x14ac:dyDescent="0.2">
      <c r="B134" s="18" t="s">
        <v>804</v>
      </c>
      <c r="C134" s="19" t="s">
        <v>581</v>
      </c>
      <c r="D134" s="19" t="s">
        <v>526</v>
      </c>
      <c r="E134" s="20" t="s">
        <v>274</v>
      </c>
      <c r="F134" s="27">
        <v>1200</v>
      </c>
      <c r="G134" s="19" t="s">
        <v>962</v>
      </c>
      <c r="H134" s="27"/>
      <c r="I134" s="19" t="s">
        <v>962</v>
      </c>
      <c r="J134" s="27"/>
      <c r="K134" s="19" t="s">
        <v>962</v>
      </c>
      <c r="L134" s="27"/>
      <c r="M134" s="19" t="s">
        <v>962</v>
      </c>
      <c r="N134" s="27"/>
      <c r="O134" s="19" t="s">
        <v>962</v>
      </c>
      <c r="P134" s="27"/>
      <c r="Q134" s="19" t="s">
        <v>962</v>
      </c>
      <c r="R134" s="21">
        <f t="shared" si="4"/>
        <v>1200</v>
      </c>
      <c r="S134" s="22" t="s">
        <v>962</v>
      </c>
      <c r="Z134" s="17">
        <v>1200</v>
      </c>
    </row>
    <row r="135" spans="2:26" ht="19.7" customHeight="1" x14ac:dyDescent="0.2">
      <c r="B135" s="18" t="s">
        <v>255</v>
      </c>
      <c r="C135" s="19" t="s">
        <v>226</v>
      </c>
      <c r="D135" s="19" t="s">
        <v>51</v>
      </c>
      <c r="E135" s="20" t="s">
        <v>366</v>
      </c>
      <c r="F135" s="27">
        <v>2800</v>
      </c>
      <c r="G135" s="19" t="s">
        <v>962</v>
      </c>
      <c r="H135" s="27"/>
      <c r="I135" s="19" t="s">
        <v>962</v>
      </c>
      <c r="J135" s="27"/>
      <c r="K135" s="19" t="s">
        <v>962</v>
      </c>
      <c r="L135" s="27"/>
      <c r="M135" s="19" t="s">
        <v>962</v>
      </c>
      <c r="N135" s="27"/>
      <c r="O135" s="19" t="s">
        <v>962</v>
      </c>
      <c r="P135" s="27"/>
      <c r="Q135" s="19" t="s">
        <v>962</v>
      </c>
      <c r="R135" s="21">
        <f t="shared" si="4"/>
        <v>2800</v>
      </c>
      <c r="S135" s="22" t="s">
        <v>962</v>
      </c>
      <c r="Z135" s="17">
        <v>2800</v>
      </c>
    </row>
    <row r="136" spans="2:26" ht="19.7" customHeight="1" x14ac:dyDescent="0.2">
      <c r="B136" s="18" t="s">
        <v>937</v>
      </c>
      <c r="C136" s="19" t="s">
        <v>826</v>
      </c>
      <c r="D136" s="19" t="s">
        <v>822</v>
      </c>
      <c r="E136" s="20" t="s">
        <v>569</v>
      </c>
      <c r="F136" s="27">
        <v>3491</v>
      </c>
      <c r="G136" s="19" t="s">
        <v>962</v>
      </c>
      <c r="H136" s="27"/>
      <c r="I136" s="19" t="s">
        <v>962</v>
      </c>
      <c r="J136" s="27"/>
      <c r="K136" s="19" t="s">
        <v>962</v>
      </c>
      <c r="L136" s="27"/>
      <c r="M136" s="19" t="s">
        <v>962</v>
      </c>
      <c r="N136" s="27"/>
      <c r="O136" s="19" t="s">
        <v>962</v>
      </c>
      <c r="P136" s="27"/>
      <c r="Q136" s="19" t="s">
        <v>962</v>
      </c>
      <c r="R136" s="21">
        <f t="shared" si="4"/>
        <v>3491</v>
      </c>
      <c r="S136" s="22" t="s">
        <v>962</v>
      </c>
      <c r="Z136" s="17">
        <v>3491</v>
      </c>
    </row>
    <row r="137" spans="2:26" ht="19.7" customHeight="1" x14ac:dyDescent="0.2">
      <c r="B137" s="18" t="s">
        <v>416</v>
      </c>
      <c r="C137" s="19" t="s">
        <v>265</v>
      </c>
      <c r="D137" s="19" t="s">
        <v>803</v>
      </c>
      <c r="E137" s="20" t="s">
        <v>569</v>
      </c>
      <c r="F137" s="27">
        <v>9600</v>
      </c>
      <c r="G137" s="19" t="s">
        <v>962</v>
      </c>
      <c r="H137" s="27"/>
      <c r="I137" s="19" t="s">
        <v>962</v>
      </c>
      <c r="J137" s="27"/>
      <c r="K137" s="19" t="s">
        <v>962</v>
      </c>
      <c r="L137" s="27"/>
      <c r="M137" s="19" t="s">
        <v>962</v>
      </c>
      <c r="N137" s="27"/>
      <c r="O137" s="19" t="s">
        <v>962</v>
      </c>
      <c r="P137" s="27"/>
      <c r="Q137" s="19" t="s">
        <v>962</v>
      </c>
      <c r="R137" s="21">
        <f t="shared" si="4"/>
        <v>9600</v>
      </c>
      <c r="S137" s="22" t="s">
        <v>47</v>
      </c>
      <c r="Z137" s="17">
        <v>9600</v>
      </c>
    </row>
    <row r="138" spans="2:26" ht="19.7" customHeight="1" x14ac:dyDescent="0.2">
      <c r="B138" s="18" t="s">
        <v>778</v>
      </c>
      <c r="C138" s="19" t="s">
        <v>412</v>
      </c>
      <c r="D138" s="19" t="s">
        <v>962</v>
      </c>
      <c r="E138" s="20" t="s">
        <v>769</v>
      </c>
      <c r="F138" s="27">
        <v>1.27</v>
      </c>
      <c r="G138" s="19" t="s">
        <v>962</v>
      </c>
      <c r="H138" s="27"/>
      <c r="I138" s="19" t="s">
        <v>962</v>
      </c>
      <c r="J138" s="27"/>
      <c r="K138" s="19" t="s">
        <v>962</v>
      </c>
      <c r="L138" s="27"/>
      <c r="M138" s="19" t="s">
        <v>962</v>
      </c>
      <c r="N138" s="27"/>
      <c r="O138" s="19" t="s">
        <v>962</v>
      </c>
      <c r="P138" s="27"/>
      <c r="Q138" s="19" t="s">
        <v>962</v>
      </c>
      <c r="R138" s="21">
        <f t="shared" si="4"/>
        <v>1.27</v>
      </c>
      <c r="S138" s="22" t="s">
        <v>52</v>
      </c>
      <c r="Z138" s="17">
        <v>1.27</v>
      </c>
    </row>
    <row r="139" spans="2:26" ht="19.7" customHeight="1" x14ac:dyDescent="0.2">
      <c r="B139" s="18" t="s">
        <v>346</v>
      </c>
      <c r="C139" s="19" t="s">
        <v>409</v>
      </c>
      <c r="D139" s="19" t="s">
        <v>476</v>
      </c>
      <c r="E139" s="20" t="s">
        <v>769</v>
      </c>
      <c r="F139" s="27">
        <v>6066</v>
      </c>
      <c r="G139" s="19" t="s">
        <v>962</v>
      </c>
      <c r="H139" s="27"/>
      <c r="I139" s="19" t="s">
        <v>962</v>
      </c>
      <c r="J139" s="27"/>
      <c r="K139" s="19" t="s">
        <v>962</v>
      </c>
      <c r="L139" s="27"/>
      <c r="M139" s="19" t="s">
        <v>962</v>
      </c>
      <c r="N139" s="27"/>
      <c r="O139" s="19" t="s">
        <v>962</v>
      </c>
      <c r="P139" s="27"/>
      <c r="Q139" s="19" t="s">
        <v>962</v>
      </c>
      <c r="R139" s="21">
        <f t="shared" si="4"/>
        <v>6066</v>
      </c>
      <c r="S139" s="22" t="s">
        <v>962</v>
      </c>
      <c r="Z139" s="17">
        <v>6066</v>
      </c>
    </row>
    <row r="140" spans="2:26" ht="19.7" customHeight="1" x14ac:dyDescent="0.2">
      <c r="B140" s="18" t="s">
        <v>851</v>
      </c>
      <c r="C140" s="19" t="s">
        <v>916</v>
      </c>
      <c r="D140" s="19" t="s">
        <v>322</v>
      </c>
      <c r="E140" s="20" t="s">
        <v>769</v>
      </c>
      <c r="F140" s="27">
        <v>8800</v>
      </c>
      <c r="G140" s="19" t="s">
        <v>962</v>
      </c>
      <c r="H140" s="27"/>
      <c r="I140" s="19" t="s">
        <v>962</v>
      </c>
      <c r="J140" s="27"/>
      <c r="K140" s="19" t="s">
        <v>962</v>
      </c>
      <c r="L140" s="27"/>
      <c r="M140" s="19" t="s">
        <v>962</v>
      </c>
      <c r="N140" s="27"/>
      <c r="O140" s="19" t="s">
        <v>962</v>
      </c>
      <c r="P140" s="27"/>
      <c r="Q140" s="19" t="s">
        <v>962</v>
      </c>
      <c r="R140" s="21">
        <f t="shared" si="4"/>
        <v>8800</v>
      </c>
      <c r="S140" s="22" t="s">
        <v>962</v>
      </c>
      <c r="Z140" s="17">
        <v>8800</v>
      </c>
    </row>
    <row r="141" spans="2:26" ht="19.7" customHeight="1" x14ac:dyDescent="0.2">
      <c r="B141" s="18" t="s">
        <v>449</v>
      </c>
      <c r="C141" s="19" t="s">
        <v>916</v>
      </c>
      <c r="D141" s="19" t="s">
        <v>457</v>
      </c>
      <c r="E141" s="20" t="s">
        <v>769</v>
      </c>
      <c r="F141" s="27">
        <v>9650</v>
      </c>
      <c r="G141" s="19" t="s">
        <v>962</v>
      </c>
      <c r="H141" s="27"/>
      <c r="I141" s="19" t="s">
        <v>962</v>
      </c>
      <c r="J141" s="27"/>
      <c r="K141" s="19" t="s">
        <v>962</v>
      </c>
      <c r="L141" s="27"/>
      <c r="M141" s="19" t="s">
        <v>962</v>
      </c>
      <c r="N141" s="27"/>
      <c r="O141" s="19" t="s">
        <v>962</v>
      </c>
      <c r="P141" s="27"/>
      <c r="Q141" s="19" t="s">
        <v>962</v>
      </c>
      <c r="R141" s="21">
        <f t="shared" si="4"/>
        <v>9650</v>
      </c>
      <c r="S141" s="22" t="s">
        <v>962</v>
      </c>
      <c r="Z141" s="17">
        <v>9650</v>
      </c>
    </row>
    <row r="142" spans="2:26" ht="19.7" customHeight="1" x14ac:dyDescent="0.2">
      <c r="B142" s="18" t="s">
        <v>852</v>
      </c>
      <c r="C142" s="19" t="s">
        <v>446</v>
      </c>
      <c r="D142" s="19" t="s">
        <v>322</v>
      </c>
      <c r="E142" s="20" t="s">
        <v>569</v>
      </c>
      <c r="F142" s="27">
        <v>4550</v>
      </c>
      <c r="G142" s="19" t="s">
        <v>962</v>
      </c>
      <c r="H142" s="27"/>
      <c r="I142" s="19" t="s">
        <v>962</v>
      </c>
      <c r="J142" s="27"/>
      <c r="K142" s="19" t="s">
        <v>962</v>
      </c>
      <c r="L142" s="27"/>
      <c r="M142" s="19" t="s">
        <v>962</v>
      </c>
      <c r="N142" s="27"/>
      <c r="O142" s="19" t="s">
        <v>962</v>
      </c>
      <c r="P142" s="27"/>
      <c r="Q142" s="19" t="s">
        <v>962</v>
      </c>
      <c r="R142" s="21">
        <f t="shared" si="4"/>
        <v>4550</v>
      </c>
      <c r="S142" s="22" t="s">
        <v>962</v>
      </c>
      <c r="Z142" s="17">
        <v>4550</v>
      </c>
    </row>
    <row r="143" spans="2:26" ht="19.7" customHeight="1" x14ac:dyDescent="0.2">
      <c r="B143" s="18" t="s">
        <v>435</v>
      </c>
      <c r="C143" s="19" t="s">
        <v>666</v>
      </c>
      <c r="D143" s="19" t="s">
        <v>190</v>
      </c>
      <c r="E143" s="20" t="s">
        <v>569</v>
      </c>
      <c r="F143" s="27">
        <v>4300</v>
      </c>
      <c r="G143" s="19" t="s">
        <v>962</v>
      </c>
      <c r="H143" s="27"/>
      <c r="I143" s="19" t="s">
        <v>962</v>
      </c>
      <c r="J143" s="27"/>
      <c r="K143" s="19" t="s">
        <v>962</v>
      </c>
      <c r="L143" s="27"/>
      <c r="M143" s="19" t="s">
        <v>962</v>
      </c>
      <c r="N143" s="27"/>
      <c r="O143" s="19" t="s">
        <v>962</v>
      </c>
      <c r="P143" s="27"/>
      <c r="Q143" s="19" t="s">
        <v>962</v>
      </c>
      <c r="R143" s="21">
        <f t="shared" si="4"/>
        <v>4300</v>
      </c>
      <c r="S143" s="22" t="s">
        <v>962</v>
      </c>
      <c r="Z143" s="17">
        <v>4300</v>
      </c>
    </row>
    <row r="144" spans="2:26" ht="19.7" customHeight="1" x14ac:dyDescent="0.2">
      <c r="B144" s="23" t="s">
        <v>73</v>
      </c>
      <c r="C144" s="24" t="s">
        <v>350</v>
      </c>
      <c r="D144" s="24" t="s">
        <v>413</v>
      </c>
      <c r="E144" s="25" t="s">
        <v>769</v>
      </c>
      <c r="F144" s="10">
        <v>2700</v>
      </c>
      <c r="G144" s="24" t="s">
        <v>962</v>
      </c>
      <c r="H144" s="10"/>
      <c r="I144" s="24" t="s">
        <v>962</v>
      </c>
      <c r="J144" s="10"/>
      <c r="K144" s="24" t="s">
        <v>962</v>
      </c>
      <c r="L144" s="10"/>
      <c r="M144" s="24" t="s">
        <v>962</v>
      </c>
      <c r="N144" s="10"/>
      <c r="O144" s="24" t="s">
        <v>962</v>
      </c>
      <c r="P144" s="10"/>
      <c r="Q144" s="24" t="s">
        <v>962</v>
      </c>
      <c r="R144" s="11">
        <f t="shared" si="4"/>
        <v>2700</v>
      </c>
      <c r="S144" s="26" t="s">
        <v>962</v>
      </c>
      <c r="Z144" s="17">
        <v>2700</v>
      </c>
    </row>
    <row r="145" spans="2:26" ht="19.7" customHeight="1" x14ac:dyDescent="0.2">
      <c r="B145" s="18" t="s">
        <v>505</v>
      </c>
      <c r="C145" s="19" t="s">
        <v>849</v>
      </c>
      <c r="D145" s="19" t="s">
        <v>17</v>
      </c>
      <c r="E145" s="20" t="s">
        <v>274</v>
      </c>
      <c r="F145" s="27">
        <v>750</v>
      </c>
      <c r="G145" s="19" t="s">
        <v>962</v>
      </c>
      <c r="H145" s="27"/>
      <c r="I145" s="19" t="s">
        <v>962</v>
      </c>
      <c r="J145" s="27"/>
      <c r="K145" s="19" t="s">
        <v>962</v>
      </c>
      <c r="L145" s="27"/>
      <c r="M145" s="19" t="s">
        <v>962</v>
      </c>
      <c r="N145" s="27"/>
      <c r="O145" s="19" t="s">
        <v>962</v>
      </c>
      <c r="P145" s="27"/>
      <c r="Q145" s="19" t="s">
        <v>962</v>
      </c>
      <c r="R145" s="21">
        <f t="shared" si="4"/>
        <v>750</v>
      </c>
      <c r="S145" s="22" t="s">
        <v>962</v>
      </c>
      <c r="Z145" s="17">
        <v>750</v>
      </c>
    </row>
    <row r="146" spans="2:26" ht="19.7" customHeight="1" x14ac:dyDescent="0.2">
      <c r="B146" s="18" t="s">
        <v>247</v>
      </c>
      <c r="C146" s="19" t="s">
        <v>880</v>
      </c>
      <c r="D146" s="19" t="s">
        <v>705</v>
      </c>
      <c r="E146" s="20" t="s">
        <v>596</v>
      </c>
      <c r="F146" s="27">
        <v>3400</v>
      </c>
      <c r="G146" s="19" t="s">
        <v>962</v>
      </c>
      <c r="H146" s="27"/>
      <c r="I146" s="19" t="s">
        <v>962</v>
      </c>
      <c r="J146" s="27"/>
      <c r="K146" s="19" t="s">
        <v>962</v>
      </c>
      <c r="L146" s="27"/>
      <c r="M146" s="19" t="s">
        <v>962</v>
      </c>
      <c r="N146" s="27"/>
      <c r="O146" s="19" t="s">
        <v>962</v>
      </c>
      <c r="P146" s="27"/>
      <c r="Q146" s="19" t="s">
        <v>962</v>
      </c>
      <c r="R146" s="21">
        <f t="shared" si="4"/>
        <v>3400</v>
      </c>
      <c r="S146" s="22" t="s">
        <v>962</v>
      </c>
      <c r="Z146" s="17">
        <v>3400</v>
      </c>
    </row>
    <row r="147" spans="2:26" ht="19.7" customHeight="1" x14ac:dyDescent="0.2">
      <c r="B147" s="18" t="s">
        <v>635</v>
      </c>
      <c r="C147" s="19" t="s">
        <v>461</v>
      </c>
      <c r="D147" s="19" t="s">
        <v>674</v>
      </c>
      <c r="E147" s="20" t="s">
        <v>569</v>
      </c>
      <c r="F147" s="27">
        <v>650</v>
      </c>
      <c r="G147" s="19" t="s">
        <v>962</v>
      </c>
      <c r="H147" s="27"/>
      <c r="I147" s="19" t="s">
        <v>962</v>
      </c>
      <c r="J147" s="27"/>
      <c r="K147" s="19" t="s">
        <v>962</v>
      </c>
      <c r="L147" s="27"/>
      <c r="M147" s="19" t="s">
        <v>962</v>
      </c>
      <c r="N147" s="27"/>
      <c r="O147" s="19" t="s">
        <v>962</v>
      </c>
      <c r="P147" s="27"/>
      <c r="Q147" s="19" t="s">
        <v>962</v>
      </c>
      <c r="R147" s="21">
        <f t="shared" si="4"/>
        <v>650</v>
      </c>
      <c r="S147" s="22" t="s">
        <v>962</v>
      </c>
      <c r="Z147" s="17">
        <v>650</v>
      </c>
    </row>
    <row r="148" spans="2:26" ht="19.7" customHeight="1" x14ac:dyDescent="0.2">
      <c r="B148" s="18" t="s">
        <v>38</v>
      </c>
      <c r="C148" s="19" t="s">
        <v>332</v>
      </c>
      <c r="D148" s="19" t="s">
        <v>962</v>
      </c>
      <c r="E148" s="20" t="s">
        <v>274</v>
      </c>
      <c r="F148" s="27">
        <v>20000</v>
      </c>
      <c r="G148" s="19" t="s">
        <v>962</v>
      </c>
      <c r="H148" s="27"/>
      <c r="I148" s="19" t="s">
        <v>962</v>
      </c>
      <c r="J148" s="27"/>
      <c r="K148" s="19" t="s">
        <v>962</v>
      </c>
      <c r="L148" s="27"/>
      <c r="M148" s="19" t="s">
        <v>962</v>
      </c>
      <c r="N148" s="27"/>
      <c r="O148" s="19" t="s">
        <v>962</v>
      </c>
      <c r="P148" s="27"/>
      <c r="Q148" s="19" t="s">
        <v>962</v>
      </c>
      <c r="R148" s="21">
        <f t="shared" si="4"/>
        <v>20000</v>
      </c>
      <c r="S148" s="22" t="s">
        <v>962</v>
      </c>
      <c r="Z148" s="17">
        <v>20000</v>
      </c>
    </row>
    <row r="149" spans="2:26" ht="19.7" customHeight="1" x14ac:dyDescent="0.2">
      <c r="B149" s="18" t="s">
        <v>595</v>
      </c>
      <c r="C149" s="19" t="s">
        <v>563</v>
      </c>
      <c r="D149" s="19" t="s">
        <v>962</v>
      </c>
      <c r="E149" s="20" t="s">
        <v>274</v>
      </c>
      <c r="F149" s="27">
        <v>5000</v>
      </c>
      <c r="G149" s="19" t="s">
        <v>962</v>
      </c>
      <c r="H149" s="27"/>
      <c r="I149" s="19" t="s">
        <v>962</v>
      </c>
      <c r="J149" s="27"/>
      <c r="K149" s="19" t="s">
        <v>962</v>
      </c>
      <c r="L149" s="27"/>
      <c r="M149" s="19" t="s">
        <v>962</v>
      </c>
      <c r="N149" s="27"/>
      <c r="O149" s="19" t="s">
        <v>962</v>
      </c>
      <c r="P149" s="27"/>
      <c r="Q149" s="19" t="s">
        <v>962</v>
      </c>
      <c r="R149" s="21">
        <f t="shared" si="4"/>
        <v>5000</v>
      </c>
      <c r="S149" s="22" t="s">
        <v>962</v>
      </c>
      <c r="Z149" s="17">
        <v>5000</v>
      </c>
    </row>
    <row r="150" spans="2:26" ht="19.7" customHeight="1" x14ac:dyDescent="0.2">
      <c r="B150" s="18" t="s">
        <v>140</v>
      </c>
      <c r="C150" s="19" t="s">
        <v>731</v>
      </c>
      <c r="D150" s="19" t="s">
        <v>962</v>
      </c>
      <c r="E150" s="20" t="s">
        <v>274</v>
      </c>
      <c r="F150" s="27">
        <v>30000</v>
      </c>
      <c r="G150" s="19" t="s">
        <v>962</v>
      </c>
      <c r="H150" s="27"/>
      <c r="I150" s="19" t="s">
        <v>962</v>
      </c>
      <c r="J150" s="27"/>
      <c r="K150" s="19" t="s">
        <v>962</v>
      </c>
      <c r="L150" s="27"/>
      <c r="M150" s="19" t="s">
        <v>962</v>
      </c>
      <c r="N150" s="27"/>
      <c r="O150" s="19" t="s">
        <v>962</v>
      </c>
      <c r="P150" s="27"/>
      <c r="Q150" s="19" t="s">
        <v>962</v>
      </c>
      <c r="R150" s="21">
        <f t="shared" si="4"/>
        <v>30000</v>
      </c>
      <c r="S150" s="22" t="s">
        <v>962</v>
      </c>
      <c r="Z150" s="17">
        <v>30000</v>
      </c>
    </row>
    <row r="151" spans="2:26" ht="19.7" customHeight="1" x14ac:dyDescent="0.2">
      <c r="B151" s="18" t="s">
        <v>659</v>
      </c>
      <c r="C151" s="19" t="s">
        <v>77</v>
      </c>
      <c r="D151" s="19" t="s">
        <v>962</v>
      </c>
      <c r="E151" s="20" t="s">
        <v>274</v>
      </c>
      <c r="F151" s="27">
        <v>15000</v>
      </c>
      <c r="G151" s="19" t="s">
        <v>962</v>
      </c>
      <c r="H151" s="27"/>
      <c r="I151" s="19" t="s">
        <v>962</v>
      </c>
      <c r="J151" s="27"/>
      <c r="K151" s="19" t="s">
        <v>962</v>
      </c>
      <c r="L151" s="27"/>
      <c r="M151" s="19" t="s">
        <v>962</v>
      </c>
      <c r="N151" s="27"/>
      <c r="O151" s="19" t="s">
        <v>962</v>
      </c>
      <c r="P151" s="27"/>
      <c r="Q151" s="19" t="s">
        <v>962</v>
      </c>
      <c r="R151" s="21">
        <f t="shared" si="4"/>
        <v>15000</v>
      </c>
      <c r="S151" s="22" t="s">
        <v>962</v>
      </c>
      <c r="Z151" s="17">
        <v>15000</v>
      </c>
    </row>
    <row r="152" spans="2:26" ht="19.7" customHeight="1" x14ac:dyDescent="0.2">
      <c r="B152" s="18" t="s">
        <v>135</v>
      </c>
      <c r="C152" s="19" t="s">
        <v>6</v>
      </c>
      <c r="D152" s="19" t="s">
        <v>962</v>
      </c>
      <c r="E152" s="20" t="s">
        <v>274</v>
      </c>
      <c r="F152" s="27">
        <v>10000</v>
      </c>
      <c r="G152" s="19" t="s">
        <v>962</v>
      </c>
      <c r="H152" s="27"/>
      <c r="I152" s="19" t="s">
        <v>962</v>
      </c>
      <c r="J152" s="27"/>
      <c r="K152" s="19" t="s">
        <v>962</v>
      </c>
      <c r="L152" s="27"/>
      <c r="M152" s="19" t="s">
        <v>962</v>
      </c>
      <c r="N152" s="27"/>
      <c r="O152" s="19" t="s">
        <v>962</v>
      </c>
      <c r="P152" s="27"/>
      <c r="Q152" s="19" t="s">
        <v>962</v>
      </c>
      <c r="R152" s="21">
        <f t="shared" si="4"/>
        <v>10000</v>
      </c>
      <c r="S152" s="22" t="s">
        <v>962</v>
      </c>
      <c r="Z152" s="17">
        <v>10000</v>
      </c>
    </row>
    <row r="153" spans="2:26" ht="19.7" customHeight="1" x14ac:dyDescent="0.2">
      <c r="B153" s="18" t="s">
        <v>672</v>
      </c>
      <c r="C153" s="19" t="s">
        <v>697</v>
      </c>
      <c r="D153" s="19" t="s">
        <v>741</v>
      </c>
      <c r="E153" s="20" t="s">
        <v>596</v>
      </c>
      <c r="F153" s="27">
        <v>67</v>
      </c>
      <c r="G153" s="19" t="s">
        <v>962</v>
      </c>
      <c r="H153" s="27"/>
      <c r="I153" s="19" t="s">
        <v>962</v>
      </c>
      <c r="J153" s="27"/>
      <c r="K153" s="19" t="s">
        <v>962</v>
      </c>
      <c r="L153" s="27"/>
      <c r="M153" s="19" t="s">
        <v>962</v>
      </c>
      <c r="N153" s="27"/>
      <c r="O153" s="19" t="s">
        <v>962</v>
      </c>
      <c r="P153" s="27"/>
      <c r="Q153" s="19" t="s">
        <v>962</v>
      </c>
      <c r="R153" s="21">
        <f t="shared" si="4"/>
        <v>67</v>
      </c>
      <c r="S153" s="22" t="s">
        <v>962</v>
      </c>
      <c r="Z153" s="17">
        <v>67</v>
      </c>
    </row>
    <row r="154" spans="2:26" ht="19.7" customHeight="1" x14ac:dyDescent="0.2">
      <c r="B154" s="18" t="s">
        <v>308</v>
      </c>
      <c r="C154" s="19" t="s">
        <v>860</v>
      </c>
      <c r="D154" s="19" t="s">
        <v>507</v>
      </c>
      <c r="E154" s="20" t="s">
        <v>274</v>
      </c>
      <c r="F154" s="27">
        <v>429000</v>
      </c>
      <c r="G154" s="19" t="s">
        <v>962</v>
      </c>
      <c r="H154" s="27"/>
      <c r="I154" s="19" t="s">
        <v>962</v>
      </c>
      <c r="J154" s="27"/>
      <c r="K154" s="19" t="s">
        <v>962</v>
      </c>
      <c r="L154" s="27"/>
      <c r="M154" s="19" t="s">
        <v>962</v>
      </c>
      <c r="N154" s="27"/>
      <c r="O154" s="19" t="s">
        <v>962</v>
      </c>
      <c r="P154" s="27"/>
      <c r="Q154" s="19" t="s">
        <v>962</v>
      </c>
      <c r="R154" s="21">
        <f t="shared" si="4"/>
        <v>429000</v>
      </c>
      <c r="S154" s="22" t="s">
        <v>962</v>
      </c>
      <c r="Z154" s="17">
        <v>429000</v>
      </c>
    </row>
    <row r="155" spans="2:26" ht="19.7" customHeight="1" x14ac:dyDescent="0.2">
      <c r="B155" s="18" t="s">
        <v>748</v>
      </c>
      <c r="C155" s="19" t="s">
        <v>917</v>
      </c>
      <c r="D155" s="19" t="s">
        <v>693</v>
      </c>
      <c r="E155" s="20" t="s">
        <v>444</v>
      </c>
      <c r="F155" s="27">
        <v>4750</v>
      </c>
      <c r="G155" s="19" t="s">
        <v>962</v>
      </c>
      <c r="H155" s="27"/>
      <c r="I155" s="19" t="s">
        <v>962</v>
      </c>
      <c r="J155" s="27"/>
      <c r="K155" s="19" t="s">
        <v>962</v>
      </c>
      <c r="L155" s="27"/>
      <c r="M155" s="19" t="s">
        <v>962</v>
      </c>
      <c r="N155" s="27"/>
      <c r="O155" s="19" t="s">
        <v>962</v>
      </c>
      <c r="P155" s="27"/>
      <c r="Q155" s="19" t="s">
        <v>962</v>
      </c>
      <c r="R155" s="21">
        <f t="shared" si="4"/>
        <v>4750</v>
      </c>
      <c r="S155" s="22" t="s">
        <v>962</v>
      </c>
      <c r="Z155" s="17">
        <v>4750</v>
      </c>
    </row>
    <row r="156" spans="2:26" ht="19.7" customHeight="1" x14ac:dyDescent="0.2">
      <c r="B156" s="18" t="s">
        <v>473</v>
      </c>
      <c r="C156" s="19" t="s">
        <v>917</v>
      </c>
      <c r="D156" s="19" t="s">
        <v>177</v>
      </c>
      <c r="E156" s="20" t="s">
        <v>444</v>
      </c>
      <c r="F156" s="27">
        <v>8910</v>
      </c>
      <c r="G156" s="19" t="s">
        <v>962</v>
      </c>
      <c r="H156" s="27"/>
      <c r="I156" s="19" t="s">
        <v>962</v>
      </c>
      <c r="J156" s="27"/>
      <c r="K156" s="19" t="s">
        <v>962</v>
      </c>
      <c r="L156" s="27"/>
      <c r="M156" s="19" t="s">
        <v>962</v>
      </c>
      <c r="N156" s="27"/>
      <c r="O156" s="19" t="s">
        <v>962</v>
      </c>
      <c r="P156" s="27"/>
      <c r="Q156" s="19" t="s">
        <v>962</v>
      </c>
      <c r="R156" s="21">
        <f t="shared" si="4"/>
        <v>8910</v>
      </c>
      <c r="S156" s="22" t="s">
        <v>962</v>
      </c>
      <c r="Z156" s="17">
        <v>8910</v>
      </c>
    </row>
    <row r="157" spans="2:26" ht="19.7" customHeight="1" x14ac:dyDescent="0.2">
      <c r="B157" s="18" t="s">
        <v>870</v>
      </c>
      <c r="C157" s="19" t="s">
        <v>917</v>
      </c>
      <c r="D157" s="19" t="s">
        <v>101</v>
      </c>
      <c r="E157" s="20" t="s">
        <v>444</v>
      </c>
      <c r="F157" s="27">
        <v>14360</v>
      </c>
      <c r="G157" s="19" t="s">
        <v>962</v>
      </c>
      <c r="H157" s="27"/>
      <c r="I157" s="19" t="s">
        <v>962</v>
      </c>
      <c r="J157" s="27"/>
      <c r="K157" s="19" t="s">
        <v>962</v>
      </c>
      <c r="L157" s="27"/>
      <c r="M157" s="19" t="s">
        <v>962</v>
      </c>
      <c r="N157" s="27"/>
      <c r="O157" s="19" t="s">
        <v>962</v>
      </c>
      <c r="P157" s="27"/>
      <c r="Q157" s="19" t="s">
        <v>962</v>
      </c>
      <c r="R157" s="21">
        <f t="shared" si="4"/>
        <v>14360</v>
      </c>
      <c r="S157" s="22" t="s">
        <v>962</v>
      </c>
      <c r="Z157" s="17">
        <v>14360</v>
      </c>
    </row>
    <row r="158" spans="2:26" ht="19.7" customHeight="1" x14ac:dyDescent="0.2">
      <c r="B158" s="18" t="s">
        <v>283</v>
      </c>
      <c r="C158" s="19" t="s">
        <v>917</v>
      </c>
      <c r="D158" s="19" t="s">
        <v>951</v>
      </c>
      <c r="E158" s="20" t="s">
        <v>444</v>
      </c>
      <c r="F158" s="27">
        <v>15530</v>
      </c>
      <c r="G158" s="19" t="s">
        <v>962</v>
      </c>
      <c r="H158" s="27"/>
      <c r="I158" s="19" t="s">
        <v>962</v>
      </c>
      <c r="J158" s="27"/>
      <c r="K158" s="19" t="s">
        <v>962</v>
      </c>
      <c r="L158" s="27"/>
      <c r="M158" s="19" t="s">
        <v>962</v>
      </c>
      <c r="N158" s="27"/>
      <c r="O158" s="19" t="s">
        <v>962</v>
      </c>
      <c r="P158" s="27"/>
      <c r="Q158" s="19" t="s">
        <v>962</v>
      </c>
      <c r="R158" s="21">
        <f t="shared" si="4"/>
        <v>15530</v>
      </c>
      <c r="S158" s="22" t="s">
        <v>962</v>
      </c>
      <c r="Z158" s="17">
        <v>15530</v>
      </c>
    </row>
    <row r="159" spans="2:26" ht="19.7" customHeight="1" x14ac:dyDescent="0.2">
      <c r="B159" s="18" t="s">
        <v>841</v>
      </c>
      <c r="C159" s="19" t="s">
        <v>917</v>
      </c>
      <c r="D159" s="19" t="s">
        <v>296</v>
      </c>
      <c r="E159" s="20" t="s">
        <v>444</v>
      </c>
      <c r="F159" s="27">
        <v>25120</v>
      </c>
      <c r="G159" s="19" t="s">
        <v>962</v>
      </c>
      <c r="H159" s="27"/>
      <c r="I159" s="19" t="s">
        <v>962</v>
      </c>
      <c r="J159" s="27"/>
      <c r="K159" s="19" t="s">
        <v>962</v>
      </c>
      <c r="L159" s="27"/>
      <c r="M159" s="19" t="s">
        <v>962</v>
      </c>
      <c r="N159" s="27"/>
      <c r="O159" s="19" t="s">
        <v>962</v>
      </c>
      <c r="P159" s="27"/>
      <c r="Q159" s="19" t="s">
        <v>962</v>
      </c>
      <c r="R159" s="21">
        <f t="shared" si="4"/>
        <v>25120</v>
      </c>
      <c r="S159" s="22" t="s">
        <v>962</v>
      </c>
      <c r="Z159" s="17">
        <v>25120</v>
      </c>
    </row>
    <row r="160" spans="2:26" ht="19.7" customHeight="1" x14ac:dyDescent="0.2">
      <c r="B160" s="18" t="s">
        <v>388</v>
      </c>
      <c r="C160" s="19" t="s">
        <v>917</v>
      </c>
      <c r="D160" s="19" t="s">
        <v>360</v>
      </c>
      <c r="E160" s="20" t="s">
        <v>444</v>
      </c>
      <c r="F160" s="27">
        <v>248440</v>
      </c>
      <c r="G160" s="19" t="s">
        <v>962</v>
      </c>
      <c r="H160" s="27"/>
      <c r="I160" s="19" t="s">
        <v>962</v>
      </c>
      <c r="J160" s="27"/>
      <c r="K160" s="19" t="s">
        <v>962</v>
      </c>
      <c r="L160" s="27"/>
      <c r="M160" s="19" t="s">
        <v>962</v>
      </c>
      <c r="N160" s="27"/>
      <c r="O160" s="19" t="s">
        <v>962</v>
      </c>
      <c r="P160" s="27"/>
      <c r="Q160" s="19" t="s">
        <v>962</v>
      </c>
      <c r="R160" s="21">
        <f t="shared" si="4"/>
        <v>248440</v>
      </c>
      <c r="S160" s="22" t="s">
        <v>962</v>
      </c>
      <c r="Z160" s="17">
        <v>248440</v>
      </c>
    </row>
    <row r="161" spans="2:26" ht="19.7" customHeight="1" x14ac:dyDescent="0.2">
      <c r="B161" s="18" t="s">
        <v>911</v>
      </c>
      <c r="C161" s="19" t="s">
        <v>552</v>
      </c>
      <c r="D161" s="19" t="s">
        <v>523</v>
      </c>
      <c r="E161" s="20" t="s">
        <v>75</v>
      </c>
      <c r="F161" s="27">
        <v>141000</v>
      </c>
      <c r="G161" s="19" t="s">
        <v>962</v>
      </c>
      <c r="H161" s="27"/>
      <c r="I161" s="19" t="s">
        <v>962</v>
      </c>
      <c r="J161" s="27"/>
      <c r="K161" s="19" t="s">
        <v>962</v>
      </c>
      <c r="L161" s="27"/>
      <c r="M161" s="19" t="s">
        <v>962</v>
      </c>
      <c r="N161" s="27"/>
      <c r="O161" s="19" t="s">
        <v>962</v>
      </c>
      <c r="P161" s="27"/>
      <c r="Q161" s="19" t="s">
        <v>962</v>
      </c>
      <c r="R161" s="21">
        <f t="shared" si="4"/>
        <v>141000</v>
      </c>
      <c r="S161" s="22" t="s">
        <v>962</v>
      </c>
      <c r="Z161" s="17">
        <v>141000</v>
      </c>
    </row>
    <row r="162" spans="2:26" ht="19.7" customHeight="1" x14ac:dyDescent="0.2">
      <c r="B162" s="18" t="s">
        <v>377</v>
      </c>
      <c r="C162" s="19" t="s">
        <v>531</v>
      </c>
      <c r="D162" s="19" t="s">
        <v>962</v>
      </c>
      <c r="E162" s="20" t="s">
        <v>569</v>
      </c>
      <c r="F162" s="27">
        <v>4404</v>
      </c>
      <c r="G162" s="19" t="s">
        <v>962</v>
      </c>
      <c r="H162" s="27"/>
      <c r="I162" s="19" t="s">
        <v>962</v>
      </c>
      <c r="J162" s="27"/>
      <c r="K162" s="19" t="s">
        <v>962</v>
      </c>
      <c r="L162" s="27"/>
      <c r="M162" s="19" t="s">
        <v>962</v>
      </c>
      <c r="N162" s="27"/>
      <c r="O162" s="19" t="s">
        <v>962</v>
      </c>
      <c r="P162" s="27"/>
      <c r="Q162" s="19" t="s">
        <v>962</v>
      </c>
      <c r="R162" s="21">
        <f t="shared" si="4"/>
        <v>4404</v>
      </c>
      <c r="S162" s="22" t="s">
        <v>962</v>
      </c>
      <c r="Z162" s="17">
        <v>4404</v>
      </c>
    </row>
    <row r="163" spans="2:26" ht="19.7" customHeight="1" x14ac:dyDescent="0.2">
      <c r="B163" s="18" t="s">
        <v>914</v>
      </c>
      <c r="C163" s="19" t="s">
        <v>197</v>
      </c>
      <c r="D163" s="19" t="s">
        <v>677</v>
      </c>
      <c r="E163" s="20" t="s">
        <v>274</v>
      </c>
      <c r="F163" s="27">
        <v>62000</v>
      </c>
      <c r="G163" s="19" t="s">
        <v>962</v>
      </c>
      <c r="H163" s="27"/>
      <c r="I163" s="19" t="s">
        <v>962</v>
      </c>
      <c r="J163" s="27"/>
      <c r="K163" s="19" t="s">
        <v>962</v>
      </c>
      <c r="L163" s="27"/>
      <c r="M163" s="19" t="s">
        <v>962</v>
      </c>
      <c r="N163" s="27"/>
      <c r="O163" s="19" t="s">
        <v>962</v>
      </c>
      <c r="P163" s="27"/>
      <c r="Q163" s="19" t="s">
        <v>962</v>
      </c>
      <c r="R163" s="21">
        <f t="shared" si="4"/>
        <v>62000</v>
      </c>
      <c r="S163" s="22" t="s">
        <v>962</v>
      </c>
      <c r="Z163" s="17">
        <v>62000</v>
      </c>
    </row>
    <row r="164" spans="2:26" ht="19.7" customHeight="1" x14ac:dyDescent="0.2">
      <c r="B164" s="18" t="s">
        <v>554</v>
      </c>
      <c r="C164" s="19" t="s">
        <v>881</v>
      </c>
      <c r="D164" s="19" t="s">
        <v>291</v>
      </c>
      <c r="E164" s="20" t="s">
        <v>274</v>
      </c>
      <c r="F164" s="27">
        <v>9500</v>
      </c>
      <c r="G164" s="19" t="s">
        <v>962</v>
      </c>
      <c r="H164" s="27"/>
      <c r="I164" s="19" t="s">
        <v>962</v>
      </c>
      <c r="J164" s="27"/>
      <c r="K164" s="19" t="s">
        <v>962</v>
      </c>
      <c r="L164" s="27"/>
      <c r="M164" s="19" t="s">
        <v>962</v>
      </c>
      <c r="N164" s="27"/>
      <c r="O164" s="19" t="s">
        <v>962</v>
      </c>
      <c r="P164" s="27"/>
      <c r="Q164" s="19" t="s">
        <v>962</v>
      </c>
      <c r="R164" s="21">
        <f t="shared" si="4"/>
        <v>9500</v>
      </c>
      <c r="S164" s="22" t="s">
        <v>962</v>
      </c>
      <c r="Z164" s="17">
        <v>9500</v>
      </c>
    </row>
    <row r="165" spans="2:26" ht="19.7" customHeight="1" x14ac:dyDescent="0.2">
      <c r="B165" s="18" t="s">
        <v>23</v>
      </c>
      <c r="C165" s="19" t="s">
        <v>288</v>
      </c>
      <c r="D165" s="19" t="s">
        <v>358</v>
      </c>
      <c r="E165" s="20" t="s">
        <v>274</v>
      </c>
      <c r="F165" s="27">
        <v>30000</v>
      </c>
      <c r="G165" s="19" t="s">
        <v>962</v>
      </c>
      <c r="H165" s="27"/>
      <c r="I165" s="19" t="s">
        <v>962</v>
      </c>
      <c r="J165" s="27"/>
      <c r="K165" s="19" t="s">
        <v>962</v>
      </c>
      <c r="L165" s="27"/>
      <c r="M165" s="19" t="s">
        <v>962</v>
      </c>
      <c r="N165" s="27"/>
      <c r="O165" s="19" t="s">
        <v>962</v>
      </c>
      <c r="P165" s="27"/>
      <c r="Q165" s="19" t="s">
        <v>962</v>
      </c>
      <c r="R165" s="21">
        <f t="shared" ref="R165:R173" si="5">MIN(F165,H165,J165,L165,N165,P165)</f>
        <v>30000</v>
      </c>
      <c r="S165" s="22" t="s">
        <v>962</v>
      </c>
      <c r="Z165" s="17">
        <v>30000</v>
      </c>
    </row>
    <row r="166" spans="2:26" ht="19.7" customHeight="1" x14ac:dyDescent="0.2">
      <c r="B166" s="18" t="s">
        <v>719</v>
      </c>
      <c r="C166" s="19" t="s">
        <v>167</v>
      </c>
      <c r="D166" s="19" t="s">
        <v>102</v>
      </c>
      <c r="E166" s="20" t="s">
        <v>366</v>
      </c>
      <c r="F166" s="27">
        <v>1500</v>
      </c>
      <c r="G166" s="19" t="s">
        <v>962</v>
      </c>
      <c r="H166" s="27"/>
      <c r="I166" s="19" t="s">
        <v>962</v>
      </c>
      <c r="J166" s="27"/>
      <c r="K166" s="19" t="s">
        <v>962</v>
      </c>
      <c r="L166" s="27"/>
      <c r="M166" s="19" t="s">
        <v>962</v>
      </c>
      <c r="N166" s="27"/>
      <c r="O166" s="19" t="s">
        <v>962</v>
      </c>
      <c r="P166" s="27"/>
      <c r="Q166" s="19" t="s">
        <v>962</v>
      </c>
      <c r="R166" s="21">
        <f t="shared" si="5"/>
        <v>1500</v>
      </c>
      <c r="S166" s="22" t="s">
        <v>962</v>
      </c>
      <c r="Z166" s="17">
        <v>1500</v>
      </c>
    </row>
    <row r="167" spans="2:26" ht="19.7" customHeight="1" x14ac:dyDescent="0.2">
      <c r="B167" s="18" t="s">
        <v>159</v>
      </c>
      <c r="C167" s="19" t="s">
        <v>768</v>
      </c>
      <c r="D167" s="19" t="s">
        <v>142</v>
      </c>
      <c r="E167" s="20" t="s">
        <v>274</v>
      </c>
      <c r="F167" s="27">
        <v>160000</v>
      </c>
      <c r="G167" s="19" t="s">
        <v>962</v>
      </c>
      <c r="H167" s="27"/>
      <c r="I167" s="19" t="s">
        <v>962</v>
      </c>
      <c r="J167" s="27"/>
      <c r="K167" s="19" t="s">
        <v>962</v>
      </c>
      <c r="L167" s="27"/>
      <c r="M167" s="19" t="s">
        <v>962</v>
      </c>
      <c r="N167" s="27"/>
      <c r="O167" s="19" t="s">
        <v>962</v>
      </c>
      <c r="P167" s="27"/>
      <c r="Q167" s="19" t="s">
        <v>962</v>
      </c>
      <c r="R167" s="21">
        <f t="shared" si="5"/>
        <v>160000</v>
      </c>
      <c r="S167" s="22" t="s">
        <v>962</v>
      </c>
      <c r="Z167" s="17">
        <v>160000</v>
      </c>
    </row>
    <row r="168" spans="2:26" ht="19.7" customHeight="1" x14ac:dyDescent="0.2">
      <c r="B168" s="18" t="s">
        <v>521</v>
      </c>
      <c r="C168" s="19" t="s">
        <v>492</v>
      </c>
      <c r="D168" s="19" t="s">
        <v>520</v>
      </c>
      <c r="E168" s="20" t="s">
        <v>950</v>
      </c>
      <c r="F168" s="27">
        <v>92.6</v>
      </c>
      <c r="G168" s="19" t="s">
        <v>962</v>
      </c>
      <c r="H168" s="27"/>
      <c r="I168" s="19" t="s">
        <v>962</v>
      </c>
      <c r="J168" s="27"/>
      <c r="K168" s="19" t="s">
        <v>962</v>
      </c>
      <c r="L168" s="27"/>
      <c r="M168" s="19" t="s">
        <v>962</v>
      </c>
      <c r="N168" s="27"/>
      <c r="O168" s="19" t="s">
        <v>962</v>
      </c>
      <c r="P168" s="27"/>
      <c r="Q168" s="19" t="s">
        <v>962</v>
      </c>
      <c r="R168" s="21">
        <f t="shared" si="5"/>
        <v>92.6</v>
      </c>
      <c r="S168" s="22" t="s">
        <v>962</v>
      </c>
      <c r="Z168" s="17">
        <v>92.6</v>
      </c>
    </row>
    <row r="169" spans="2:26" ht="19.7" customHeight="1" x14ac:dyDescent="0.2">
      <c r="B169" s="18" t="s">
        <v>105</v>
      </c>
      <c r="C169" s="19" t="s">
        <v>58</v>
      </c>
      <c r="D169" s="19" t="s">
        <v>962</v>
      </c>
      <c r="E169" s="20" t="s">
        <v>950</v>
      </c>
      <c r="F169" s="27">
        <v>106.3</v>
      </c>
      <c r="G169" s="19" t="s">
        <v>962</v>
      </c>
      <c r="H169" s="27"/>
      <c r="I169" s="19" t="s">
        <v>962</v>
      </c>
      <c r="J169" s="27"/>
      <c r="K169" s="19" t="s">
        <v>962</v>
      </c>
      <c r="L169" s="27"/>
      <c r="M169" s="19" t="s">
        <v>962</v>
      </c>
      <c r="N169" s="27"/>
      <c r="O169" s="19" t="s">
        <v>962</v>
      </c>
      <c r="P169" s="27"/>
      <c r="Q169" s="19" t="s">
        <v>962</v>
      </c>
      <c r="R169" s="21">
        <f t="shared" si="5"/>
        <v>106.3</v>
      </c>
      <c r="S169" s="22" t="s">
        <v>709</v>
      </c>
      <c r="Z169" s="17">
        <v>106.3</v>
      </c>
    </row>
    <row r="170" spans="2:26" ht="19.7" customHeight="1" x14ac:dyDescent="0.2">
      <c r="B170" s="18" t="s">
        <v>617</v>
      </c>
      <c r="C170" s="19" t="s">
        <v>541</v>
      </c>
      <c r="D170" s="19" t="s">
        <v>39</v>
      </c>
      <c r="E170" s="20" t="s">
        <v>678</v>
      </c>
      <c r="F170" s="27">
        <v>2261.69</v>
      </c>
      <c r="G170" s="19" t="s">
        <v>962</v>
      </c>
      <c r="H170" s="27"/>
      <c r="I170" s="19" t="s">
        <v>962</v>
      </c>
      <c r="J170" s="27"/>
      <c r="K170" s="19" t="s">
        <v>962</v>
      </c>
      <c r="L170" s="27"/>
      <c r="M170" s="19" t="s">
        <v>962</v>
      </c>
      <c r="N170" s="27"/>
      <c r="O170" s="19" t="s">
        <v>962</v>
      </c>
      <c r="P170" s="27"/>
      <c r="Q170" s="19" t="s">
        <v>962</v>
      </c>
      <c r="R170" s="21">
        <f t="shared" si="5"/>
        <v>2261.69</v>
      </c>
      <c r="S170" s="22" t="s">
        <v>962</v>
      </c>
      <c r="Z170" s="17">
        <v>2261.69</v>
      </c>
    </row>
    <row r="171" spans="2:26" ht="19.7" customHeight="1" x14ac:dyDescent="0.2">
      <c r="B171" s="18" t="s">
        <v>188</v>
      </c>
      <c r="C171" s="19" t="s">
        <v>867</v>
      </c>
      <c r="D171" s="19" t="s">
        <v>39</v>
      </c>
      <c r="E171" s="20" t="s">
        <v>678</v>
      </c>
      <c r="F171" s="27">
        <v>2493.42</v>
      </c>
      <c r="G171" s="19" t="s">
        <v>962</v>
      </c>
      <c r="H171" s="27"/>
      <c r="I171" s="19" t="s">
        <v>962</v>
      </c>
      <c r="J171" s="27"/>
      <c r="K171" s="19" t="s">
        <v>962</v>
      </c>
      <c r="L171" s="27"/>
      <c r="M171" s="19" t="s">
        <v>962</v>
      </c>
      <c r="N171" s="27"/>
      <c r="O171" s="19" t="s">
        <v>962</v>
      </c>
      <c r="P171" s="27"/>
      <c r="Q171" s="19" t="s">
        <v>962</v>
      </c>
      <c r="R171" s="21">
        <f t="shared" si="5"/>
        <v>2493.42</v>
      </c>
      <c r="S171" s="22" t="s">
        <v>962</v>
      </c>
      <c r="Z171" s="17">
        <v>2493.42</v>
      </c>
    </row>
    <row r="172" spans="2:26" ht="19.7" customHeight="1" x14ac:dyDescent="0.2">
      <c r="B172" s="23" t="s">
        <v>601</v>
      </c>
      <c r="C172" s="24" t="s">
        <v>805</v>
      </c>
      <c r="D172" s="24" t="s">
        <v>194</v>
      </c>
      <c r="E172" s="25" t="s">
        <v>366</v>
      </c>
      <c r="F172" s="10">
        <v>3000</v>
      </c>
      <c r="G172" s="24" t="s">
        <v>962</v>
      </c>
      <c r="H172" s="10"/>
      <c r="I172" s="24" t="s">
        <v>962</v>
      </c>
      <c r="J172" s="10"/>
      <c r="K172" s="24" t="s">
        <v>962</v>
      </c>
      <c r="L172" s="10"/>
      <c r="M172" s="24" t="s">
        <v>962</v>
      </c>
      <c r="N172" s="10"/>
      <c r="O172" s="24" t="s">
        <v>962</v>
      </c>
      <c r="P172" s="10"/>
      <c r="Q172" s="24" t="s">
        <v>962</v>
      </c>
      <c r="R172" s="11">
        <f t="shared" si="5"/>
        <v>3000</v>
      </c>
      <c r="S172" s="26" t="s">
        <v>962</v>
      </c>
      <c r="Z172" s="17">
        <v>3000</v>
      </c>
    </row>
    <row r="173" spans="2:26" x14ac:dyDescent="0.2">
      <c r="B173" s="23" t="s">
        <v>219</v>
      </c>
      <c r="C173" s="24" t="s">
        <v>681</v>
      </c>
      <c r="D173" s="24" t="s">
        <v>402</v>
      </c>
      <c r="E173" s="25" t="s">
        <v>618</v>
      </c>
      <c r="F173" s="10">
        <v>96620</v>
      </c>
      <c r="G173" s="24" t="s">
        <v>962</v>
      </c>
      <c r="H173" s="10"/>
      <c r="I173" s="24" t="s">
        <v>962</v>
      </c>
      <c r="J173" s="10"/>
      <c r="K173" s="24" t="s">
        <v>962</v>
      </c>
      <c r="L173" s="10"/>
      <c r="M173" s="24" t="s">
        <v>962</v>
      </c>
      <c r="N173" s="10"/>
      <c r="O173" s="24" t="s">
        <v>962</v>
      </c>
      <c r="P173" s="10"/>
      <c r="Q173" s="24" t="s">
        <v>962</v>
      </c>
      <c r="R173" s="11">
        <f t="shared" si="5"/>
        <v>96620</v>
      </c>
      <c r="S173" s="26" t="s">
        <v>962</v>
      </c>
      <c r="Z173" s="17">
        <v>96620</v>
      </c>
    </row>
    <row r="174" spans="2:26" x14ac:dyDescent="0.2"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</row>
  </sheetData>
  <mergeCells count="13">
    <mergeCell ref="B1:S2"/>
    <mergeCell ref="J3:K3"/>
    <mergeCell ref="L3:M3"/>
    <mergeCell ref="N3:O3"/>
    <mergeCell ref="P3:Q3"/>
    <mergeCell ref="R3:R4"/>
    <mergeCell ref="S3:S4"/>
    <mergeCell ref="B3:B4"/>
    <mergeCell ref="C3:C4"/>
    <mergeCell ref="D3:D4"/>
    <mergeCell ref="E3:E4"/>
    <mergeCell ref="F3:G3"/>
    <mergeCell ref="H3:I3"/>
  </mergeCells>
  <phoneticPr fontId="5" type="noConversion"/>
  <pageMargins left="0.98425196850393704" right="7.874015748031496E-2" top="0.6692913385826772" bottom="0.59055118110236215" header="0.5" footer="0.5"/>
  <pageSetup paperSize="9" scale="80" orientation="landscape" copies="0"/>
  <headerFooter alignWithMargins="0"/>
  <rowBreaks count="6" manualBreakCount="6">
    <brk id="32" min="2" max="19" man="1"/>
    <brk id="60" min="2" max="19" man="1"/>
    <brk id="88" min="2" max="19" man="1"/>
    <brk id="116" min="2" max="19" man="1"/>
    <brk id="144" min="2" max="19" man="1"/>
    <brk id="172" min="2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AD637-0266-44E7-9617-8F8FD906BB83}">
  <dimension ref="B1:AC35"/>
  <sheetViews>
    <sheetView workbookViewId="0">
      <pane ySplit="3" topLeftCell="A4" activePane="bottomLeft" state="frozen"/>
      <selection activeCell="BB4011" sqref="BB4011:BE4012"/>
      <selection pane="bottomLeft" activeCell="BB4011" sqref="BB4011:BE4012"/>
    </sheetView>
  </sheetViews>
  <sheetFormatPr defaultRowHeight="12.75" x14ac:dyDescent="0.2"/>
  <cols>
    <col min="1" max="1" width="0.7109375" customWidth="1"/>
    <col min="2" max="2" width="7.140625" customWidth="1"/>
    <col min="3" max="3" width="32" customWidth="1"/>
    <col min="4" max="4" width="26.140625" customWidth="1"/>
    <col min="5" max="5" width="7.140625" customWidth="1"/>
    <col min="6" max="6" width="13.5703125" customWidth="1"/>
    <col min="7" max="7" width="21.42578125" customWidth="1"/>
  </cols>
  <sheetData>
    <row r="1" spans="2:29" ht="24.95" customHeight="1" x14ac:dyDescent="0.2">
      <c r="B1" s="84" t="s">
        <v>753</v>
      </c>
      <c r="C1" s="84"/>
      <c r="D1" s="84"/>
      <c r="E1" s="84"/>
      <c r="F1" s="84"/>
      <c r="G1" s="84"/>
    </row>
    <row r="2" spans="2:29" ht="9.9499999999999993" customHeight="1" x14ac:dyDescent="0.2">
      <c r="B2" s="85"/>
      <c r="C2" s="85"/>
      <c r="D2" s="85"/>
      <c r="E2" s="85"/>
      <c r="F2" s="85"/>
      <c r="G2" s="85"/>
    </row>
    <row r="3" spans="2:29" ht="27.95" customHeight="1" x14ac:dyDescent="0.2">
      <c r="B3" s="14" t="s">
        <v>259</v>
      </c>
      <c r="C3" s="7" t="s">
        <v>922</v>
      </c>
      <c r="D3" s="7" t="s">
        <v>364</v>
      </c>
      <c r="E3" s="7" t="s">
        <v>354</v>
      </c>
      <c r="F3" s="7" t="s">
        <v>796</v>
      </c>
      <c r="G3" s="8" t="s">
        <v>233</v>
      </c>
      <c r="Z3" t="s">
        <v>604</v>
      </c>
      <c r="AA3" t="s">
        <v>688</v>
      </c>
      <c r="AB3" t="s">
        <v>946</v>
      </c>
      <c r="AC3" t="s">
        <v>648</v>
      </c>
    </row>
    <row r="4" spans="2:29" ht="22.35" customHeight="1" x14ac:dyDescent="0.2">
      <c r="B4" s="18" t="s">
        <v>280</v>
      </c>
      <c r="C4" s="19" t="s">
        <v>872</v>
      </c>
      <c r="D4" s="19" t="s">
        <v>962</v>
      </c>
      <c r="E4" s="20" t="s">
        <v>889</v>
      </c>
      <c r="F4" s="21">
        <v>208713</v>
      </c>
      <c r="G4" s="22" t="s">
        <v>809</v>
      </c>
      <c r="Z4" s="17">
        <v>208713</v>
      </c>
    </row>
    <row r="5" spans="2:29" ht="22.35" customHeight="1" x14ac:dyDescent="0.2">
      <c r="B5" s="18" t="s">
        <v>907</v>
      </c>
      <c r="C5" s="19" t="s">
        <v>71</v>
      </c>
      <c r="D5" s="19" t="s">
        <v>962</v>
      </c>
      <c r="E5" s="20" t="s">
        <v>889</v>
      </c>
      <c r="F5" s="21">
        <v>165545</v>
      </c>
      <c r="G5" s="22" t="s">
        <v>809</v>
      </c>
      <c r="Z5" s="17">
        <v>165545</v>
      </c>
    </row>
    <row r="6" spans="2:29" ht="22.35" customHeight="1" x14ac:dyDescent="0.2">
      <c r="B6" s="18" t="s">
        <v>384</v>
      </c>
      <c r="C6" s="19" t="s">
        <v>56</v>
      </c>
      <c r="D6" s="19" t="s">
        <v>962</v>
      </c>
      <c r="E6" s="20" t="s">
        <v>889</v>
      </c>
      <c r="F6" s="21">
        <v>214222</v>
      </c>
      <c r="G6" s="22" t="s">
        <v>809</v>
      </c>
      <c r="Z6" s="17">
        <v>214222</v>
      </c>
    </row>
    <row r="7" spans="2:29" ht="22.35" customHeight="1" x14ac:dyDescent="0.2">
      <c r="B7" s="18" t="s">
        <v>752</v>
      </c>
      <c r="C7" s="19" t="s">
        <v>258</v>
      </c>
      <c r="D7" s="19" t="s">
        <v>962</v>
      </c>
      <c r="E7" s="20" t="s">
        <v>889</v>
      </c>
      <c r="F7" s="21">
        <v>176618</v>
      </c>
      <c r="G7" s="22" t="s">
        <v>809</v>
      </c>
      <c r="Z7" s="17">
        <v>176618</v>
      </c>
    </row>
    <row r="8" spans="2:29" ht="22.35" customHeight="1" x14ac:dyDescent="0.2">
      <c r="B8" s="18" t="s">
        <v>315</v>
      </c>
      <c r="C8" s="19" t="s">
        <v>231</v>
      </c>
      <c r="D8" s="19" t="s">
        <v>962</v>
      </c>
      <c r="E8" s="20" t="s">
        <v>889</v>
      </c>
      <c r="F8" s="21">
        <v>280472</v>
      </c>
      <c r="G8" s="22" t="s">
        <v>809</v>
      </c>
      <c r="Z8" s="17">
        <v>280472</v>
      </c>
    </row>
    <row r="9" spans="2:29" ht="22.35" customHeight="1" x14ac:dyDescent="0.2">
      <c r="B9" s="18" t="s">
        <v>877</v>
      </c>
      <c r="C9" s="19" t="s">
        <v>347</v>
      </c>
      <c r="D9" s="19" t="s">
        <v>962</v>
      </c>
      <c r="E9" s="20" t="s">
        <v>889</v>
      </c>
      <c r="F9" s="21">
        <v>274978</v>
      </c>
      <c r="G9" s="22" t="s">
        <v>809</v>
      </c>
      <c r="Z9" s="17">
        <v>274978</v>
      </c>
    </row>
    <row r="10" spans="2:29" ht="22.35" customHeight="1" x14ac:dyDescent="0.2">
      <c r="B10" s="18" t="s">
        <v>480</v>
      </c>
      <c r="C10" s="19" t="s">
        <v>76</v>
      </c>
      <c r="D10" s="19" t="s">
        <v>962</v>
      </c>
      <c r="E10" s="20" t="s">
        <v>889</v>
      </c>
      <c r="F10" s="21">
        <v>260137</v>
      </c>
      <c r="G10" s="22" t="s">
        <v>809</v>
      </c>
      <c r="Z10" s="17">
        <v>260137</v>
      </c>
    </row>
    <row r="11" spans="2:29" ht="22.35" customHeight="1" x14ac:dyDescent="0.2">
      <c r="B11" s="18" t="s">
        <v>884</v>
      </c>
      <c r="C11" s="19" t="s">
        <v>519</v>
      </c>
      <c r="D11" s="19" t="s">
        <v>962</v>
      </c>
      <c r="E11" s="20" t="s">
        <v>889</v>
      </c>
      <c r="F11" s="21">
        <v>233754</v>
      </c>
      <c r="G11" s="22" t="s">
        <v>809</v>
      </c>
      <c r="Z11" s="17">
        <v>233754</v>
      </c>
    </row>
    <row r="12" spans="2:29" ht="22.35" customHeight="1" x14ac:dyDescent="0.2">
      <c r="B12" s="18" t="s">
        <v>465</v>
      </c>
      <c r="C12" s="19" t="s">
        <v>183</v>
      </c>
      <c r="D12" s="19" t="s">
        <v>962</v>
      </c>
      <c r="E12" s="20" t="s">
        <v>889</v>
      </c>
      <c r="F12" s="21">
        <v>243126</v>
      </c>
      <c r="G12" s="22" t="s">
        <v>809</v>
      </c>
      <c r="Z12" s="17">
        <v>243126</v>
      </c>
    </row>
    <row r="13" spans="2:29" ht="22.35" customHeight="1" x14ac:dyDescent="0.2">
      <c r="B13" s="18" t="s">
        <v>111</v>
      </c>
      <c r="C13" s="19" t="s">
        <v>150</v>
      </c>
      <c r="D13" s="19" t="s">
        <v>962</v>
      </c>
      <c r="E13" s="20" t="s">
        <v>889</v>
      </c>
      <c r="F13" s="21">
        <v>267021</v>
      </c>
      <c r="G13" s="22" t="s">
        <v>809</v>
      </c>
      <c r="Z13" s="17">
        <v>267021</v>
      </c>
    </row>
    <row r="14" spans="2:29" ht="22.35" customHeight="1" x14ac:dyDescent="0.2">
      <c r="B14" s="18" t="s">
        <v>509</v>
      </c>
      <c r="C14" s="19" t="s">
        <v>947</v>
      </c>
      <c r="D14" s="19" t="s">
        <v>962</v>
      </c>
      <c r="E14" s="20" t="s">
        <v>889</v>
      </c>
      <c r="F14" s="21">
        <v>261283</v>
      </c>
      <c r="G14" s="22" t="s">
        <v>809</v>
      </c>
      <c r="Z14" s="17">
        <v>261283</v>
      </c>
    </row>
    <row r="15" spans="2:29" ht="22.35" customHeight="1" x14ac:dyDescent="0.2">
      <c r="B15" s="18" t="s">
        <v>200</v>
      </c>
      <c r="C15" s="19" t="s">
        <v>734</v>
      </c>
      <c r="D15" s="19" t="s">
        <v>962</v>
      </c>
      <c r="E15" s="20" t="s">
        <v>889</v>
      </c>
      <c r="F15" s="21">
        <v>223458</v>
      </c>
      <c r="G15" s="22" t="s">
        <v>809</v>
      </c>
      <c r="Z15" s="17">
        <v>223458</v>
      </c>
    </row>
    <row r="16" spans="2:29" ht="22.35" customHeight="1" x14ac:dyDescent="0.2">
      <c r="B16" s="18" t="s">
        <v>610</v>
      </c>
      <c r="C16" s="19" t="s">
        <v>801</v>
      </c>
      <c r="D16" s="19" t="s">
        <v>962</v>
      </c>
      <c r="E16" s="20" t="s">
        <v>889</v>
      </c>
      <c r="F16" s="21">
        <v>210152</v>
      </c>
      <c r="G16" s="22" t="s">
        <v>809</v>
      </c>
      <c r="Z16" s="17">
        <v>210152</v>
      </c>
    </row>
    <row r="17" spans="2:26" ht="22.35" customHeight="1" x14ac:dyDescent="0.2">
      <c r="B17" s="18" t="s">
        <v>34</v>
      </c>
      <c r="C17" s="19" t="s">
        <v>547</v>
      </c>
      <c r="D17" s="19" t="s">
        <v>962</v>
      </c>
      <c r="E17" s="20" t="s">
        <v>889</v>
      </c>
      <c r="F17" s="21">
        <v>205982</v>
      </c>
      <c r="G17" s="22" t="s">
        <v>809</v>
      </c>
      <c r="Z17" s="17">
        <v>205982</v>
      </c>
    </row>
    <row r="18" spans="2:26" ht="22.35" customHeight="1" x14ac:dyDescent="0.2">
      <c r="B18" s="18" t="s">
        <v>545</v>
      </c>
      <c r="C18" s="19" t="s">
        <v>304</v>
      </c>
      <c r="D18" s="19" t="s">
        <v>962</v>
      </c>
      <c r="E18" s="20" t="s">
        <v>889</v>
      </c>
      <c r="F18" s="21">
        <v>258360</v>
      </c>
      <c r="G18" s="22" t="s">
        <v>809</v>
      </c>
      <c r="Z18" s="17">
        <v>258360</v>
      </c>
    </row>
    <row r="19" spans="2:26" ht="22.35" customHeight="1" x14ac:dyDescent="0.2">
      <c r="B19" s="18" t="s">
        <v>165</v>
      </c>
      <c r="C19" s="19" t="s">
        <v>61</v>
      </c>
      <c r="D19" s="19" t="s">
        <v>962</v>
      </c>
      <c r="E19" s="20" t="s">
        <v>889</v>
      </c>
      <c r="F19" s="21">
        <v>268058</v>
      </c>
      <c r="G19" s="22" t="s">
        <v>809</v>
      </c>
      <c r="Z19" s="17">
        <v>268058</v>
      </c>
    </row>
    <row r="20" spans="2:26" ht="22.35" customHeight="1" x14ac:dyDescent="0.2">
      <c r="B20" s="18" t="s">
        <v>707</v>
      </c>
      <c r="C20" s="19" t="s">
        <v>777</v>
      </c>
      <c r="D20" s="19" t="s">
        <v>962</v>
      </c>
      <c r="E20" s="20" t="s">
        <v>889</v>
      </c>
      <c r="F20" s="21">
        <v>250776</v>
      </c>
      <c r="G20" s="22" t="s">
        <v>809</v>
      </c>
      <c r="Z20" s="17">
        <v>250776</v>
      </c>
    </row>
    <row r="21" spans="2:26" ht="22.35" customHeight="1" x14ac:dyDescent="0.2">
      <c r="B21" s="18" t="s">
        <v>169</v>
      </c>
      <c r="C21" s="19" t="s">
        <v>180</v>
      </c>
      <c r="D21" s="19" t="s">
        <v>962</v>
      </c>
      <c r="E21" s="20" t="s">
        <v>889</v>
      </c>
      <c r="F21" s="21">
        <v>219533</v>
      </c>
      <c r="G21" s="22" t="s">
        <v>809</v>
      </c>
      <c r="Z21" s="17">
        <v>219533</v>
      </c>
    </row>
    <row r="22" spans="2:26" ht="22.35" customHeight="1" x14ac:dyDescent="0.2">
      <c r="B22" s="18" t="s">
        <v>694</v>
      </c>
      <c r="C22" s="19" t="s">
        <v>744</v>
      </c>
      <c r="D22" s="19" t="s">
        <v>962</v>
      </c>
      <c r="E22" s="20" t="s">
        <v>889</v>
      </c>
      <c r="F22" s="21">
        <v>243168</v>
      </c>
      <c r="G22" s="22" t="s">
        <v>809</v>
      </c>
      <c r="Z22" s="17">
        <v>243168</v>
      </c>
    </row>
    <row r="23" spans="2:26" ht="22.35" customHeight="1" x14ac:dyDescent="0.2">
      <c r="B23" s="18" t="s">
        <v>831</v>
      </c>
      <c r="C23" s="19" t="s">
        <v>237</v>
      </c>
      <c r="D23" s="19" t="s">
        <v>962</v>
      </c>
      <c r="E23" s="20" t="s">
        <v>889</v>
      </c>
      <c r="F23" s="21">
        <v>267360</v>
      </c>
      <c r="G23" s="22" t="s">
        <v>809</v>
      </c>
      <c r="Z23" s="17">
        <v>267360</v>
      </c>
    </row>
    <row r="24" spans="2:26" ht="22.35" customHeight="1" x14ac:dyDescent="0.2">
      <c r="B24" s="18" t="s">
        <v>286</v>
      </c>
      <c r="C24" s="19" t="s">
        <v>78</v>
      </c>
      <c r="D24" s="19" t="s">
        <v>962</v>
      </c>
      <c r="E24" s="20" t="s">
        <v>889</v>
      </c>
      <c r="F24" s="21">
        <v>226709</v>
      </c>
      <c r="G24" s="22" t="s">
        <v>809</v>
      </c>
      <c r="Z24" s="17">
        <v>226709</v>
      </c>
    </row>
    <row r="25" spans="2:26" ht="22.35" customHeight="1" x14ac:dyDescent="0.2">
      <c r="B25" s="18" t="s">
        <v>903</v>
      </c>
      <c r="C25" s="19" t="s">
        <v>493</v>
      </c>
      <c r="D25" s="19" t="s">
        <v>962</v>
      </c>
      <c r="E25" s="20" t="s">
        <v>889</v>
      </c>
      <c r="F25" s="21">
        <v>161142</v>
      </c>
      <c r="G25" s="22" t="s">
        <v>809</v>
      </c>
      <c r="Z25" s="17">
        <v>161142</v>
      </c>
    </row>
    <row r="26" spans="2:26" ht="22.35" customHeight="1" x14ac:dyDescent="0.2">
      <c r="B26" s="18" t="s">
        <v>398</v>
      </c>
      <c r="C26" s="19" t="s">
        <v>94</v>
      </c>
      <c r="D26" s="19" t="s">
        <v>962</v>
      </c>
      <c r="E26" s="20" t="s">
        <v>889</v>
      </c>
      <c r="F26" s="21">
        <v>233722</v>
      </c>
      <c r="G26" s="22" t="s">
        <v>809</v>
      </c>
      <c r="Z26" s="17">
        <v>233722</v>
      </c>
    </row>
    <row r="27" spans="2:26" ht="22.35" customHeight="1" x14ac:dyDescent="0.2">
      <c r="B27" s="18" t="s">
        <v>740</v>
      </c>
      <c r="C27" s="19" t="s">
        <v>405</v>
      </c>
      <c r="D27" s="19" t="s">
        <v>962</v>
      </c>
      <c r="E27" s="20" t="s">
        <v>889</v>
      </c>
      <c r="F27" s="21">
        <v>310129</v>
      </c>
      <c r="G27" s="22" t="s">
        <v>809</v>
      </c>
      <c r="Z27" s="17">
        <v>310129</v>
      </c>
    </row>
    <row r="28" spans="2:26" ht="22.35" customHeight="1" x14ac:dyDescent="0.2">
      <c r="B28" s="18" t="s">
        <v>319</v>
      </c>
      <c r="C28" s="19" t="s">
        <v>647</v>
      </c>
      <c r="D28" s="19" t="s">
        <v>962</v>
      </c>
      <c r="E28" s="20" t="s">
        <v>889</v>
      </c>
      <c r="F28" s="21">
        <v>189751</v>
      </c>
      <c r="G28" s="22" t="s">
        <v>809</v>
      </c>
      <c r="Z28" s="17">
        <v>189751</v>
      </c>
    </row>
    <row r="29" spans="2:26" ht="22.35" customHeight="1" x14ac:dyDescent="0.2">
      <c r="B29" s="18" t="s">
        <v>864</v>
      </c>
      <c r="C29" s="19" t="s">
        <v>33</v>
      </c>
      <c r="D29" s="19" t="s">
        <v>962</v>
      </c>
      <c r="E29" s="20" t="s">
        <v>889</v>
      </c>
      <c r="F29" s="21">
        <v>250164</v>
      </c>
      <c r="G29" s="22" t="s">
        <v>809</v>
      </c>
      <c r="Z29" s="17">
        <v>250164</v>
      </c>
    </row>
    <row r="30" spans="2:26" ht="22.35" customHeight="1" x14ac:dyDescent="0.2">
      <c r="B30" s="18" t="s">
        <v>482</v>
      </c>
      <c r="C30" s="19" t="s">
        <v>567</v>
      </c>
      <c r="D30" s="19" t="s">
        <v>634</v>
      </c>
      <c r="E30" s="20" t="s">
        <v>889</v>
      </c>
      <c r="F30" s="21">
        <v>185082</v>
      </c>
      <c r="G30" s="22" t="s">
        <v>962</v>
      </c>
      <c r="Z30" s="17">
        <v>185082</v>
      </c>
    </row>
    <row r="31" spans="2:26" ht="22.35" customHeight="1" x14ac:dyDescent="0.2">
      <c r="B31" s="18" t="s">
        <v>895</v>
      </c>
      <c r="C31" s="19" t="s">
        <v>126</v>
      </c>
      <c r="D31" s="19" t="s">
        <v>962</v>
      </c>
      <c r="E31" s="20" t="s">
        <v>889</v>
      </c>
      <c r="F31" s="21">
        <v>238259</v>
      </c>
      <c r="G31" s="22" t="s">
        <v>763</v>
      </c>
      <c r="Z31" s="17">
        <v>238259</v>
      </c>
    </row>
    <row r="32" spans="2:26" ht="22.35" customHeight="1" x14ac:dyDescent="0.2">
      <c r="B32" s="18" t="s">
        <v>464</v>
      </c>
      <c r="C32" s="19" t="s">
        <v>570</v>
      </c>
      <c r="D32" s="19" t="s">
        <v>962</v>
      </c>
      <c r="E32" s="20" t="s">
        <v>889</v>
      </c>
      <c r="F32" s="21">
        <v>194029</v>
      </c>
      <c r="G32" s="22" t="s">
        <v>763</v>
      </c>
      <c r="Z32" s="17">
        <v>194029</v>
      </c>
    </row>
    <row r="33" spans="2:26" ht="22.35" customHeight="1" x14ac:dyDescent="0.2">
      <c r="B33" s="18" t="s">
        <v>586</v>
      </c>
      <c r="C33" s="19" t="s">
        <v>90</v>
      </c>
      <c r="D33" s="19" t="s">
        <v>962</v>
      </c>
      <c r="E33" s="20" t="s">
        <v>889</v>
      </c>
      <c r="F33" s="21">
        <v>272915</v>
      </c>
      <c r="G33" s="22" t="s">
        <v>763</v>
      </c>
      <c r="Z33" s="17">
        <v>272915</v>
      </c>
    </row>
    <row r="34" spans="2:26" ht="22.35" customHeight="1" x14ac:dyDescent="0.2">
      <c r="B34" s="23" t="s">
        <v>46</v>
      </c>
      <c r="C34" s="24" t="s">
        <v>468</v>
      </c>
      <c r="D34" s="24" t="s">
        <v>962</v>
      </c>
      <c r="E34" s="25" t="s">
        <v>889</v>
      </c>
      <c r="F34" s="11">
        <v>223458</v>
      </c>
      <c r="G34" s="26" t="s">
        <v>809</v>
      </c>
      <c r="Z34" s="17">
        <v>223458</v>
      </c>
    </row>
    <row r="35" spans="2:26" x14ac:dyDescent="0.2">
      <c r="B35" s="13"/>
      <c r="C35" s="13"/>
      <c r="D35" s="13"/>
      <c r="E35" s="13"/>
      <c r="F35" s="13"/>
      <c r="G35" s="13"/>
    </row>
  </sheetData>
  <mergeCells count="1">
    <mergeCell ref="B1:G2"/>
  </mergeCells>
  <phoneticPr fontId="5" type="noConversion"/>
  <pageMargins left="0.78740157480314965" right="7.874015748031496E-2" top="0.94488188976377963" bottom="0.59055118110236215" header="0.5" footer="0.5"/>
  <pageSetup paperSize="9" scale="80"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 지정된 범위</vt:lpstr>
      </vt:variant>
      <vt:variant>
        <vt:i4>12</vt:i4>
      </vt:variant>
    </vt:vector>
  </HeadingPairs>
  <TitlesOfParts>
    <vt:vector size="19" baseType="lpstr">
      <vt:lpstr>단가산출 (2)</vt:lpstr>
      <vt:lpstr>기계경비총괄표</vt:lpstr>
      <vt:lpstr>기계경비</vt:lpstr>
      <vt:lpstr>기계경비적용기준</vt:lpstr>
      <vt:lpstr>견적단가</vt:lpstr>
      <vt:lpstr>자재단가</vt:lpstr>
      <vt:lpstr>노임단가</vt:lpstr>
      <vt:lpstr>견적단가!Print_Area</vt:lpstr>
      <vt:lpstr>기계경비!Print_Area</vt:lpstr>
      <vt:lpstr>기계경비총괄표!Print_Area</vt:lpstr>
      <vt:lpstr>노임단가!Print_Area</vt:lpstr>
      <vt:lpstr>'단가산출 (2)'!Print_Area</vt:lpstr>
      <vt:lpstr>자재단가!Print_Area</vt:lpstr>
      <vt:lpstr>견적단가!Print_Titles</vt:lpstr>
      <vt:lpstr>기계경비!Print_Titles</vt:lpstr>
      <vt:lpstr>기계경비총괄표!Print_Titles</vt:lpstr>
      <vt:lpstr>노임단가!Print_Titles</vt:lpstr>
      <vt:lpstr>'단가산출 (2)'!Print_Titles</vt:lpstr>
      <vt:lpstr>자재단가!Print_Titles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신희성업무 신희성업무</cp:lastModifiedBy>
  <cp:lastPrinted>2024-08-27T01:49:14Z</cp:lastPrinted>
  <dcterms:created xsi:type="dcterms:W3CDTF">2024-11-10T01:49:34Z</dcterms:created>
  <dcterms:modified xsi:type="dcterms:W3CDTF">2024-11-10T01:53:55Z</dcterms:modified>
</cp:coreProperties>
</file>